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tkuprina\Desktop\прайс лист МК\2022\август\"/>
    </mc:Choice>
  </mc:AlternateContent>
  <xr:revisionPtr revIDLastSave="0" documentId="13_ncr:1_{BAA77523-CADF-4DEC-8320-042F7FC30D05}" xr6:coauthVersionLast="47" xr6:coauthVersionMax="47" xr10:uidLastSave="{00000000-0000-0000-0000-000000000000}"/>
  <workbookProtection workbookAlgorithmName="SHA-512" workbookHashValue="PfgPB3a8f0A6jizu3m41fKULhAYz7eS6BhTo6oxdwXUJHysxa60tisFSPjuceufsbzFdjaCagIMLsOV49qQ6XA==" workbookSaltValue="8NU8CWU9M68EZcYe4t8T7Q==" workbookSpinCount="100000" lockStructure="1"/>
  <bookViews>
    <workbookView xWindow="-108" yWindow="-108" windowWidth="23256" windowHeight="12576" tabRatio="175" xr2:uid="{00000000-000D-0000-FFFF-FFFF00000000}"/>
  </bookViews>
  <sheets>
    <sheet name="ГЕОРГ ПОЛИМЕР" sheetId="1" r:id="rId1"/>
    <sheet name="списки и справочники" sheetId="2" r:id="rId2"/>
  </sheets>
  <definedNames>
    <definedName name="_xlnm._FilterDatabase" localSheetId="0" hidden="1">'ГЕОРГ ПОЛИМЕР'!$A$10:$Y$102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6" i="1" l="1"/>
  <c r="X86" i="1" s="1"/>
  <c r="Q85" i="1"/>
  <c r="T85" i="1" s="1"/>
  <c r="Q84" i="1"/>
  <c r="X84" i="1" s="1"/>
  <c r="Q83" i="1"/>
  <c r="T83" i="1" s="1"/>
  <c r="Q82" i="1"/>
  <c r="X82" i="1" s="1"/>
  <c r="Q81" i="1"/>
  <c r="T81" i="1" s="1"/>
  <c r="Q80" i="1"/>
  <c r="X80" i="1" s="1"/>
  <c r="Q79" i="1"/>
  <c r="T79" i="1" s="1"/>
  <c r="Q78" i="1"/>
  <c r="X78" i="1" s="1"/>
  <c r="Q77" i="1"/>
  <c r="T77" i="1" s="1"/>
  <c r="Q76" i="1"/>
  <c r="V76" i="1" s="1"/>
  <c r="S78" i="1" l="1"/>
  <c r="S80" i="1"/>
  <c r="S82" i="1"/>
  <c r="S84" i="1"/>
  <c r="S86" i="1"/>
  <c r="T78" i="1"/>
  <c r="T80" i="1"/>
  <c r="T82" i="1"/>
  <c r="T84" i="1"/>
  <c r="T86" i="1"/>
  <c r="X81" i="1"/>
  <c r="S77" i="1"/>
  <c r="S79" i="1"/>
  <c r="S81" i="1"/>
  <c r="S83" i="1"/>
  <c r="S85" i="1"/>
  <c r="X77" i="1"/>
  <c r="X79" i="1"/>
  <c r="X83" i="1"/>
  <c r="X85" i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P102" i="1"/>
  <c r="S91" i="1" l="1"/>
  <c r="T91" i="1"/>
  <c r="S94" i="1"/>
  <c r="S97" i="1"/>
  <c r="S98" i="1"/>
  <c r="S95" i="1"/>
  <c r="S99" i="1"/>
  <c r="S100" i="1"/>
  <c r="S93" i="1"/>
  <c r="S96" i="1"/>
  <c r="S101" i="1"/>
  <c r="S92" i="1"/>
  <c r="Q102" i="1"/>
  <c r="T102" i="1" l="1"/>
  <c r="S102" i="1"/>
  <c r="Q11" i="1"/>
  <c r="Q12" i="1"/>
  <c r="Q13" i="1"/>
  <c r="V13" i="1" s="1"/>
  <c r="Q14" i="1"/>
  <c r="Q15" i="1"/>
  <c r="Q16" i="1"/>
  <c r="Q17" i="1"/>
  <c r="Q18" i="1"/>
  <c r="V18" i="1" s="1"/>
  <c r="Q19" i="1"/>
  <c r="Q20" i="1"/>
  <c r="Q21" i="1"/>
  <c r="Q22" i="1"/>
  <c r="Q23" i="1"/>
  <c r="V23" i="1" s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V44" i="1" s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V59" i="1" s="1"/>
  <c r="Q60" i="1"/>
  <c r="Q61" i="1"/>
  <c r="Q62" i="1"/>
  <c r="Q63" i="1"/>
  <c r="Q64" i="1"/>
  <c r="Q65" i="1"/>
  <c r="V65" i="1" s="1"/>
  <c r="Q66" i="1"/>
  <c r="Q67" i="1"/>
  <c r="Q68" i="1"/>
  <c r="Q69" i="1"/>
  <c r="Q70" i="1"/>
  <c r="Q71" i="1"/>
  <c r="Q72" i="1"/>
  <c r="Q73" i="1"/>
  <c r="Q74" i="1"/>
  <c r="Q75" i="1"/>
  <c r="P87" i="1"/>
  <c r="L24" i="1"/>
  <c r="L14" i="1"/>
  <c r="V66" i="1" l="1"/>
  <c r="T66" i="1"/>
  <c r="S66" i="1"/>
  <c r="V54" i="1"/>
  <c r="T54" i="1"/>
  <c r="S54" i="1"/>
  <c r="V46" i="1"/>
  <c r="T46" i="1"/>
  <c r="S46" i="1"/>
  <c r="V38" i="1"/>
  <c r="T38" i="1"/>
  <c r="S38" i="1"/>
  <c r="V30" i="1"/>
  <c r="T30" i="1"/>
  <c r="S30" i="1"/>
  <c r="V22" i="1"/>
  <c r="T22" i="1"/>
  <c r="S22" i="1"/>
  <c r="T14" i="1"/>
  <c r="S14" i="1"/>
  <c r="V73" i="1"/>
  <c r="S73" i="1"/>
  <c r="T73" i="1"/>
  <c r="V69" i="1"/>
  <c r="T69" i="1"/>
  <c r="S69" i="1"/>
  <c r="V61" i="1"/>
  <c r="T61" i="1"/>
  <c r="S61" i="1"/>
  <c r="V57" i="1"/>
  <c r="S57" i="1"/>
  <c r="T57" i="1"/>
  <c r="V53" i="1"/>
  <c r="S53" i="1"/>
  <c r="T53" i="1"/>
  <c r="V49" i="1"/>
  <c r="S49" i="1"/>
  <c r="T49" i="1"/>
  <c r="V45" i="1"/>
  <c r="S45" i="1"/>
  <c r="T45" i="1"/>
  <c r="V41" i="1"/>
  <c r="S41" i="1"/>
  <c r="T41" i="1"/>
  <c r="V37" i="1"/>
  <c r="S37" i="1"/>
  <c r="T37" i="1"/>
  <c r="V33" i="1"/>
  <c r="S33" i="1"/>
  <c r="T33" i="1"/>
  <c r="V29" i="1"/>
  <c r="S29" i="1"/>
  <c r="T29" i="1"/>
  <c r="V25" i="1"/>
  <c r="S25" i="1"/>
  <c r="T25" i="1"/>
  <c r="V21" i="1"/>
  <c r="T21" i="1"/>
  <c r="S21" i="1"/>
  <c r="V17" i="1"/>
  <c r="T17" i="1"/>
  <c r="S17" i="1"/>
  <c r="V70" i="1"/>
  <c r="T70" i="1"/>
  <c r="S70" i="1"/>
  <c r="S62" i="1"/>
  <c r="T62" i="1"/>
  <c r="V50" i="1"/>
  <c r="T50" i="1"/>
  <c r="S50" i="1"/>
  <c r="V42" i="1"/>
  <c r="S42" i="1"/>
  <c r="T42" i="1"/>
  <c r="V34" i="1"/>
  <c r="T34" i="1"/>
  <c r="S34" i="1"/>
  <c r="V26" i="1"/>
  <c r="S26" i="1"/>
  <c r="T26" i="1"/>
  <c r="V72" i="1"/>
  <c r="T72" i="1"/>
  <c r="S72" i="1"/>
  <c r="V68" i="1"/>
  <c r="T68" i="1"/>
  <c r="S68" i="1"/>
  <c r="V64" i="1"/>
  <c r="T64" i="1"/>
  <c r="S64" i="1"/>
  <c r="X60" i="1"/>
  <c r="T60" i="1"/>
  <c r="S60" i="1"/>
  <c r="V56" i="1"/>
  <c r="T56" i="1"/>
  <c r="S56" i="1"/>
  <c r="V52" i="1"/>
  <c r="T52" i="1"/>
  <c r="S52" i="1"/>
  <c r="V48" i="1"/>
  <c r="T48" i="1"/>
  <c r="S48" i="1"/>
  <c r="V40" i="1"/>
  <c r="T40" i="1"/>
  <c r="S40" i="1"/>
  <c r="V36" i="1"/>
  <c r="S36" i="1"/>
  <c r="T36" i="1"/>
  <c r="V32" i="1"/>
  <c r="S32" i="1"/>
  <c r="T32" i="1"/>
  <c r="V28" i="1"/>
  <c r="T28" i="1"/>
  <c r="S28" i="1"/>
  <c r="T24" i="1"/>
  <c r="S24" i="1"/>
  <c r="V20" i="1"/>
  <c r="T20" i="1"/>
  <c r="S20" i="1"/>
  <c r="V16" i="1"/>
  <c r="T16" i="1"/>
  <c r="S16" i="1"/>
  <c r="V74" i="1"/>
  <c r="T74" i="1"/>
  <c r="S74" i="1"/>
  <c r="V58" i="1"/>
  <c r="T58" i="1"/>
  <c r="S58" i="1"/>
  <c r="V71" i="1"/>
  <c r="T71" i="1"/>
  <c r="S71" i="1"/>
  <c r="V67" i="1"/>
  <c r="S67" i="1"/>
  <c r="T67" i="1"/>
  <c r="V63" i="1"/>
  <c r="T63" i="1"/>
  <c r="S63" i="1"/>
  <c r="V55" i="1"/>
  <c r="T55" i="1"/>
  <c r="S55" i="1"/>
  <c r="V51" i="1"/>
  <c r="T51" i="1"/>
  <c r="S51" i="1"/>
  <c r="V47" i="1"/>
  <c r="T47" i="1"/>
  <c r="S47" i="1"/>
  <c r="S43" i="1"/>
  <c r="T43" i="1"/>
  <c r="V39" i="1"/>
  <c r="S39" i="1"/>
  <c r="T39" i="1"/>
  <c r="V35" i="1"/>
  <c r="S35" i="1"/>
  <c r="T35" i="1"/>
  <c r="V31" i="1"/>
  <c r="S31" i="1"/>
  <c r="T31" i="1"/>
  <c r="V27" i="1"/>
  <c r="S27" i="1"/>
  <c r="T27" i="1"/>
  <c r="V19" i="1"/>
  <c r="T19" i="1"/>
  <c r="S19" i="1"/>
  <c r="V15" i="1"/>
  <c r="T15" i="1"/>
  <c r="S15" i="1"/>
  <c r="T11" i="1"/>
  <c r="S11" i="1"/>
  <c r="V75" i="1"/>
  <c r="S75" i="1"/>
  <c r="T75" i="1"/>
  <c r="S12" i="1"/>
  <c r="T12" i="1"/>
  <c r="V12" i="1"/>
  <c r="V43" i="1"/>
  <c r="X64" i="1"/>
  <c r="X63" i="1"/>
  <c r="X11" i="1"/>
  <c r="V11" i="1"/>
  <c r="X20" i="1"/>
  <c r="X16" i="1"/>
  <c r="X15" i="1"/>
  <c r="X73" i="1"/>
  <c r="X69" i="1"/>
  <c r="X58" i="1"/>
  <c r="X54" i="1"/>
  <c r="X50" i="1"/>
  <c r="X46" i="1"/>
  <c r="X41" i="1"/>
  <c r="X37" i="1"/>
  <c r="X33" i="1"/>
  <c r="X29" i="1"/>
  <c r="X25" i="1"/>
  <c r="X72" i="1"/>
  <c r="X68" i="1"/>
  <c r="X57" i="1"/>
  <c r="X53" i="1"/>
  <c r="X49" i="1"/>
  <c r="X45" i="1"/>
  <c r="X40" i="1"/>
  <c r="X36" i="1"/>
  <c r="X32" i="1"/>
  <c r="X28" i="1"/>
  <c r="X24" i="1"/>
  <c r="X19" i="1"/>
  <c r="X14" i="1"/>
  <c r="X62" i="1"/>
  <c r="X75" i="1"/>
  <c r="X71" i="1"/>
  <c r="X67" i="1"/>
  <c r="X56" i="1"/>
  <c r="X52" i="1"/>
  <c r="X48" i="1"/>
  <c r="X43" i="1"/>
  <c r="X39" i="1"/>
  <c r="X35" i="1"/>
  <c r="X31" i="1"/>
  <c r="X27" i="1"/>
  <c r="X22" i="1"/>
  <c r="X17" i="1"/>
  <c r="X12" i="1"/>
  <c r="X61" i="1"/>
  <c r="X74" i="1"/>
  <c r="X70" i="1"/>
  <c r="X66" i="1"/>
  <c r="X55" i="1"/>
  <c r="X51" i="1"/>
  <c r="X47" i="1"/>
  <c r="X42" i="1"/>
  <c r="X38" i="1"/>
  <c r="X34" i="1"/>
  <c r="X30" i="1"/>
  <c r="X26" i="1"/>
  <c r="X21" i="1"/>
  <c r="Q87" i="1"/>
  <c r="S87" i="1" l="1"/>
  <c r="T87" i="1"/>
  <c r="T104" i="1" s="1"/>
  <c r="X87" i="1"/>
  <c r="V87" i="1" s="1"/>
  <c r="S104" i="1" l="1"/>
  <c r="R101" i="1" l="1"/>
  <c r="R97" i="1"/>
  <c r="R93" i="1"/>
  <c r="R85" i="1"/>
  <c r="R81" i="1"/>
  <c r="R77" i="1"/>
  <c r="R72" i="1"/>
  <c r="R68" i="1"/>
  <c r="R63" i="1"/>
  <c r="R58" i="1"/>
  <c r="R54" i="1"/>
  <c r="R50" i="1"/>
  <c r="R46" i="1"/>
  <c r="R41" i="1"/>
  <c r="R37" i="1"/>
  <c r="R33" i="1"/>
  <c r="R29" i="1"/>
  <c r="R25" i="1"/>
  <c r="R20" i="1"/>
  <c r="R15" i="1"/>
  <c r="P104" i="1"/>
  <c r="R95" i="1"/>
  <c r="R83" i="1"/>
  <c r="R79" i="1"/>
  <c r="R70" i="1"/>
  <c r="R66" i="1"/>
  <c r="R56" i="1"/>
  <c r="R48" i="1"/>
  <c r="R39" i="1"/>
  <c r="R27" i="1"/>
  <c r="R17" i="1"/>
  <c r="R98" i="1"/>
  <c r="R82" i="1"/>
  <c r="R73" i="1"/>
  <c r="R64" i="1"/>
  <c r="R55" i="1"/>
  <c r="R47" i="1"/>
  <c r="R38" i="1"/>
  <c r="R30" i="1"/>
  <c r="R21" i="1"/>
  <c r="R11" i="1"/>
  <c r="R100" i="1"/>
  <c r="R96" i="1"/>
  <c r="R92" i="1"/>
  <c r="R84" i="1"/>
  <c r="R80" i="1"/>
  <c r="R75" i="1"/>
  <c r="R71" i="1"/>
  <c r="R67" i="1"/>
  <c r="R62" i="1"/>
  <c r="R57" i="1"/>
  <c r="R53" i="1"/>
  <c r="R49" i="1"/>
  <c r="R45" i="1"/>
  <c r="R40" i="1"/>
  <c r="R36" i="1"/>
  <c r="R32" i="1"/>
  <c r="R28" i="1"/>
  <c r="R24" i="1"/>
  <c r="R19" i="1"/>
  <c r="R14" i="1"/>
  <c r="R99" i="1"/>
  <c r="R91" i="1"/>
  <c r="R74" i="1"/>
  <c r="R61" i="1"/>
  <c r="R52" i="1"/>
  <c r="R43" i="1"/>
  <c r="R35" i="1"/>
  <c r="R31" i="1"/>
  <c r="R22" i="1"/>
  <c r="R12" i="1"/>
  <c r="R94" i="1"/>
  <c r="R86" i="1"/>
  <c r="R78" i="1"/>
  <c r="R69" i="1"/>
  <c r="R60" i="1"/>
  <c r="R51" i="1"/>
  <c r="R42" i="1"/>
  <c r="R34" i="1"/>
  <c r="R26" i="1"/>
  <c r="R16" i="1"/>
  <c r="R87" i="1" l="1"/>
  <c r="U18" i="1" s="1"/>
  <c r="R102" i="1"/>
</calcChain>
</file>

<file path=xl/sharedStrings.xml><?xml version="1.0" encoding="utf-8"?>
<sst xmlns="http://schemas.openxmlformats.org/spreadsheetml/2006/main" count="579" uniqueCount="161">
  <si>
    <t>00000008921</t>
  </si>
  <si>
    <t>00000008924</t>
  </si>
  <si>
    <t>00000010395</t>
  </si>
  <si>
    <t>00000011589</t>
  </si>
  <si>
    <t>00000012208</t>
  </si>
  <si>
    <t>00000014447</t>
  </si>
  <si>
    <t>00000015166</t>
  </si>
  <si>
    <t>00000015310</t>
  </si>
  <si>
    <t>00000015498</t>
  </si>
  <si>
    <t>00000015765</t>
  </si>
  <si>
    <t>00000015792</t>
  </si>
  <si>
    <t>00000015806</t>
  </si>
  <si>
    <t>00000016037</t>
  </si>
  <si>
    <t>00000016064</t>
  </si>
  <si>
    <t>00000016084</t>
  </si>
  <si>
    <t>00000016104</t>
  </si>
  <si>
    <t>00000016172</t>
  </si>
  <si>
    <t>00000016228</t>
  </si>
  <si>
    <t>00000016450</t>
  </si>
  <si>
    <t>00000016486</t>
  </si>
  <si>
    <t>00000016500</t>
  </si>
  <si>
    <t>00000016568</t>
  </si>
  <si>
    <t>00000016974</t>
  </si>
  <si>
    <t>00000018770</t>
  </si>
  <si>
    <t>00000019176</t>
  </si>
  <si>
    <t>00000019189</t>
  </si>
  <si>
    <t>00000019203</t>
  </si>
  <si>
    <t>00000019205</t>
  </si>
  <si>
    <t>00000019254</t>
  </si>
  <si>
    <t>00000019255</t>
  </si>
  <si>
    <t>00000019260</t>
  </si>
  <si>
    <t>00000019263</t>
  </si>
  <si>
    <t>00000019265</t>
  </si>
  <si>
    <t>00000019267</t>
  </si>
  <si>
    <t>00000019269</t>
  </si>
  <si>
    <t>00000019278</t>
  </si>
  <si>
    <t>00000020039</t>
  </si>
  <si>
    <t>00000020043</t>
  </si>
  <si>
    <t>00000021559</t>
  </si>
  <si>
    <t>00000021562</t>
  </si>
  <si>
    <t>00000021563</t>
  </si>
  <si>
    <t>00000021564</t>
  </si>
  <si>
    <t>00000021565</t>
  </si>
  <si>
    <t>00000021566</t>
  </si>
  <si>
    <t>00000022100</t>
  </si>
  <si>
    <t>00000011658</t>
  </si>
  <si>
    <t>00000021558</t>
  </si>
  <si>
    <t>00000021567</t>
  </si>
  <si>
    <t>00000020827</t>
  </si>
  <si>
    <t>00000020830</t>
  </si>
  <si>
    <t>00000022143</t>
  </si>
  <si>
    <t>00000022149</t>
  </si>
  <si>
    <t>00000022239</t>
  </si>
  <si>
    <t xml:space="preserve">Артикул </t>
  </si>
  <si>
    <t>MAP</t>
  </si>
  <si>
    <t>Прозрачный</t>
  </si>
  <si>
    <t>Черный</t>
  </si>
  <si>
    <t>TAX</t>
  </si>
  <si>
    <t>Длина</t>
  </si>
  <si>
    <t>Цвет</t>
  </si>
  <si>
    <t>ШТ в коробке</t>
  </si>
  <si>
    <t>ШТ на паллете</t>
  </si>
  <si>
    <t>00000021272</t>
  </si>
  <si>
    <t>00000020690</t>
  </si>
  <si>
    <t>Ширина</t>
  </si>
  <si>
    <t>Наименование изделия</t>
  </si>
  <si>
    <t>Крышка</t>
  </si>
  <si>
    <t>Лоток</t>
  </si>
  <si>
    <t>Лоток круглый</t>
  </si>
  <si>
    <t>Секции</t>
  </si>
  <si>
    <t>2-секц 50/50</t>
  </si>
  <si>
    <t>2-секц 70/30</t>
  </si>
  <si>
    <t>4-секц</t>
  </si>
  <si>
    <t>6-секц</t>
  </si>
  <si>
    <t>ЕС</t>
  </si>
  <si>
    <t>3-секц</t>
  </si>
  <si>
    <t>Дизайн</t>
  </si>
  <si>
    <t xml:space="preserve"> </t>
  </si>
  <si>
    <t>ФС</t>
  </si>
  <si>
    <t>2-секц</t>
  </si>
  <si>
    <t>Х 120 Х</t>
  </si>
  <si>
    <t>Х 109 Х</t>
  </si>
  <si>
    <t>Х 150 Х</t>
  </si>
  <si>
    <t>Х 137 Х</t>
  </si>
  <si>
    <t>Х 148 Х</t>
  </si>
  <si>
    <t>Х 140 Х</t>
  </si>
  <si>
    <t>Х 178 Х</t>
  </si>
  <si>
    <t>Кол-во коробок</t>
  </si>
  <si>
    <t>ЗАКАЗ</t>
  </si>
  <si>
    <t>АО «Георг Полимер»</t>
  </si>
  <si>
    <t>142184, Московская обл., г. Подольск, с. Сынково, д.72</t>
  </si>
  <si>
    <t>info@georgpolymer.ru</t>
  </si>
  <si>
    <t>www.georg.org</t>
  </si>
  <si>
    <t>Глубина</t>
  </si>
  <si>
    <t>Тел.: 89670913464</t>
  </si>
  <si>
    <t>Материал</t>
  </si>
  <si>
    <t>Кол-во шт</t>
  </si>
  <si>
    <t>00000020828</t>
  </si>
  <si>
    <t>00000020480</t>
  </si>
  <si>
    <t>ЕС**</t>
  </si>
  <si>
    <t>ФС*</t>
  </si>
  <si>
    <t>СС***</t>
  </si>
  <si>
    <t>лоток с ребрами на дне, ребра на стенках (идеально под МГС)</t>
  </si>
  <si>
    <t>лоток с гладким дном, гладкие стенки (идеально для готовых блюд)</t>
  </si>
  <si>
    <t>лоток с гладким дном, неглубокие ребра на стенках</t>
  </si>
  <si>
    <t>формат</t>
  </si>
  <si>
    <t>расход пленки 52 мкм на 1 лоток, гр</t>
  </si>
  <si>
    <t>Рекомендованное количество пленки</t>
  </si>
  <si>
    <t xml:space="preserve">Стоимость с НДС </t>
  </si>
  <si>
    <t>Антифог</t>
  </si>
  <si>
    <t>Депол</t>
  </si>
  <si>
    <t>Af</t>
  </si>
  <si>
    <t>прозрачный</t>
  </si>
  <si>
    <t>00000023183</t>
  </si>
  <si>
    <t>ПЭТ/ПЭ-П-Peel</t>
  </si>
  <si>
    <t>00000020269</t>
  </si>
  <si>
    <t>00000023212</t>
  </si>
  <si>
    <t>00000023203</t>
  </si>
  <si>
    <t>00000022272</t>
  </si>
  <si>
    <t>00000023205</t>
  </si>
  <si>
    <t>00000023176</t>
  </si>
  <si>
    <t>00000021904</t>
  </si>
  <si>
    <t>00000023184</t>
  </si>
  <si>
    <t>00000023200</t>
  </si>
  <si>
    <t>Вес ролика</t>
  </si>
  <si>
    <t>Кол-во кг</t>
  </si>
  <si>
    <t>Прайс-лист</t>
  </si>
  <si>
    <t xml:space="preserve">ИТОГО ТФИ:   </t>
  </si>
  <si>
    <t xml:space="preserve">ИТОГО ПЛЕНКА:   </t>
  </si>
  <si>
    <t>ИТОГО ПО ЗАКАЗУ:</t>
  </si>
  <si>
    <t>Цена с НДС (до 500 тыс) РУБ/шт</t>
  </si>
  <si>
    <t>Цена с НДС (от 500 тыс) РУБ/шт</t>
  </si>
  <si>
    <t>Цена с НДС (до 500 тыс) РУБ/кг</t>
  </si>
  <si>
    <t>Цена с НДС (от 500 тыс) РУБ/кг</t>
  </si>
  <si>
    <t>00000023930</t>
  </si>
  <si>
    <t>00000023936</t>
  </si>
  <si>
    <t>Габарит коробки СМ</t>
  </si>
  <si>
    <t>49х59,5х39,5</t>
  </si>
  <si>
    <t>30,5х60х40</t>
  </si>
  <si>
    <t>82х118,5х78,5</t>
  </si>
  <si>
    <t>00000020271</t>
  </si>
  <si>
    <t>00000010806</t>
  </si>
  <si>
    <t>00000017765</t>
  </si>
  <si>
    <t>00000010817</t>
  </si>
  <si>
    <t>00000010928</t>
  </si>
  <si>
    <t>00000023838</t>
  </si>
  <si>
    <t>00000024389</t>
  </si>
  <si>
    <t>00000023669</t>
  </si>
  <si>
    <t>00000023913</t>
  </si>
  <si>
    <t>00000023644</t>
  </si>
  <si>
    <t>00000024388</t>
  </si>
  <si>
    <t>Салфетка влаговпитывающая</t>
  </si>
  <si>
    <t>Белая</t>
  </si>
  <si>
    <t>Черная</t>
  </si>
  <si>
    <t>Х</t>
  </si>
  <si>
    <t>MP</t>
  </si>
  <si>
    <t>DF</t>
  </si>
  <si>
    <t>17 мл</t>
  </si>
  <si>
    <t>25 мл</t>
  </si>
  <si>
    <t>11,5 мл</t>
  </si>
  <si>
    <t>15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</si>
</sst>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20"/>
      <color rgb="FFC00000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7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color rgb="FFC00000"/>
      <name val="Calibri"/>
      <family val="2"/>
      <charset val="204"/>
      <scheme val="minor"/>
    </font>
    <font>
      <i/>
      <sz val="11"/>
      <color rgb="FFC00000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C00000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color theme="0"/>
      <name val="Calibri"/>
      <family val="2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i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3" fontId="3" fillId="3" borderId="1" xfId="1" applyNumberFormat="1" applyFont="1" applyFill="1" applyBorder="1" applyAlignment="1" applyProtection="1">
      <alignment horizontal="center" vertical="top" wrapText="1"/>
      <protection locked="0"/>
    </xf>
    <xf numFmtId="4" fontId="8" fillId="2" borderId="0" xfId="0" applyNumberFormat="1" applyFont="1" applyFill="1" applyProtection="1">
      <protection hidden="1"/>
    </xf>
    <xf numFmtId="3" fontId="11" fillId="2" borderId="0" xfId="0" applyNumberFormat="1" applyFont="1" applyFill="1" applyAlignment="1" applyProtection="1">
      <protection hidden="1"/>
    </xf>
    <xf numFmtId="4" fontId="3" fillId="2" borderId="14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3" fontId="0" fillId="2" borderId="0" xfId="0" applyNumberFormat="1" applyFill="1" applyProtection="1">
      <protection hidden="1"/>
    </xf>
    <xf numFmtId="3" fontId="0" fillId="2" borderId="0" xfId="0" applyNumberFormat="1" applyFill="1" applyAlignment="1" applyProtection="1">
      <alignment horizontal="left"/>
      <protection hidden="1"/>
    </xf>
    <xf numFmtId="4" fontId="8" fillId="2" borderId="0" xfId="0" applyNumberFormat="1" applyFont="1" applyFill="1" applyAlignment="1" applyProtection="1">
      <alignment horizontal="right"/>
      <protection hidden="1"/>
    </xf>
    <xf numFmtId="4" fontId="9" fillId="2" borderId="0" xfId="2" applyNumberFormat="1" applyFill="1" applyAlignment="1" applyProtection="1">
      <alignment horizontal="right"/>
      <protection hidden="1"/>
    </xf>
    <xf numFmtId="0" fontId="6" fillId="2" borderId="10" xfId="1" applyFont="1" applyFill="1" applyBorder="1" applyAlignment="1" applyProtection="1">
      <alignment horizontal="center" vertical="center" wrapText="1"/>
      <protection hidden="1"/>
    </xf>
    <xf numFmtId="0" fontId="6" fillId="2" borderId="11" xfId="1" applyFont="1" applyFill="1" applyBorder="1" applyAlignment="1" applyProtection="1">
      <alignment horizontal="center" vertical="center" wrapText="1"/>
      <protection hidden="1"/>
    </xf>
    <xf numFmtId="0" fontId="6" fillId="2" borderId="9" xfId="1" applyFont="1" applyFill="1" applyBorder="1" applyAlignment="1" applyProtection="1">
      <alignment horizontal="center" vertical="center" wrapText="1"/>
      <protection hidden="1"/>
    </xf>
    <xf numFmtId="3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3" fontId="1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2" xfId="1" applyFont="1" applyFill="1" applyBorder="1" applyAlignment="1" applyProtection="1">
      <alignment horizontal="center" vertical="center" wrapText="1"/>
      <protection hidden="1"/>
    </xf>
    <xf numFmtId="3" fontId="6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vertical="top"/>
      <protection hidden="1"/>
    </xf>
    <xf numFmtId="0" fontId="2" fillId="2" borderId="3" xfId="1" applyFill="1" applyBorder="1" applyAlignment="1" applyProtection="1">
      <alignment vertical="top"/>
      <protection hidden="1"/>
    </xf>
    <xf numFmtId="0" fontId="2" fillId="2" borderId="4" xfId="1" applyFill="1" applyBorder="1" applyAlignment="1" applyProtection="1">
      <alignment vertical="top"/>
      <protection hidden="1"/>
    </xf>
    <xf numFmtId="3" fontId="5" fillId="2" borderId="4" xfId="1" applyNumberFormat="1" applyFont="1" applyFill="1" applyBorder="1" applyAlignment="1" applyProtection="1">
      <alignment horizontal="right" vertical="top"/>
      <protection hidden="1"/>
    </xf>
    <xf numFmtId="3" fontId="2" fillId="2" borderId="4" xfId="1" applyNumberFormat="1" applyFill="1" applyBorder="1" applyAlignment="1" applyProtection="1">
      <alignment horizontal="center" vertical="top"/>
      <protection hidden="1"/>
    </xf>
    <xf numFmtId="3" fontId="5" fillId="2" borderId="4" xfId="1" applyNumberFormat="1" applyFont="1" applyFill="1" applyBorder="1" applyAlignment="1" applyProtection="1">
      <alignment horizontal="left" vertical="top"/>
      <protection hidden="1"/>
    </xf>
    <xf numFmtId="0" fontId="2" fillId="2" borderId="5" xfId="1" applyFill="1" applyBorder="1" applyAlignment="1" applyProtection="1">
      <alignment vertical="top"/>
      <protection hidden="1"/>
    </xf>
    <xf numFmtId="3" fontId="2" fillId="2" borderId="1" xfId="1" applyNumberFormat="1" applyFont="1" applyFill="1" applyBorder="1" applyAlignment="1" applyProtection="1">
      <alignment horizontal="right" vertical="top"/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0" fontId="6" fillId="3" borderId="1" xfId="1" applyFont="1" applyFill="1" applyBorder="1" applyAlignment="1" applyProtection="1">
      <alignment horizontal="center" vertical="top" wrapText="1"/>
      <protection hidden="1"/>
    </xf>
    <xf numFmtId="3" fontId="6" fillId="3" borderId="1" xfId="1" applyNumberFormat="1" applyFont="1" applyFill="1" applyBorder="1" applyAlignment="1" applyProtection="1">
      <alignment vertical="center" wrapText="1"/>
      <protection hidden="1"/>
    </xf>
    <xf numFmtId="3" fontId="6" fillId="3" borderId="1" xfId="1" applyNumberFormat="1" applyFont="1" applyFill="1" applyBorder="1" applyAlignment="1" applyProtection="1">
      <alignment horizontal="center" vertical="top" wrapText="1"/>
      <protection hidden="1"/>
    </xf>
    <xf numFmtId="4" fontId="3" fillId="3" borderId="1" xfId="1" applyNumberFormat="1" applyFont="1" applyFill="1" applyBorder="1" applyAlignment="1" applyProtection="1">
      <alignment horizontal="center" vertical="top" wrapText="1"/>
      <protection hidden="1"/>
    </xf>
    <xf numFmtId="3" fontId="5" fillId="2" borderId="4" xfId="1" applyNumberFormat="1" applyFont="1" applyFill="1" applyBorder="1" applyAlignment="1" applyProtection="1">
      <alignment vertical="top"/>
      <protection hidden="1"/>
    </xf>
    <xf numFmtId="49" fontId="2" fillId="2" borderId="1" xfId="1" applyNumberFormat="1" applyFill="1" applyBorder="1" applyAlignment="1" applyProtection="1">
      <alignment vertical="top"/>
      <protection hidden="1"/>
    </xf>
    <xf numFmtId="3" fontId="2" fillId="2" borderId="1" xfId="1" applyNumberFormat="1" applyFill="1" applyBorder="1" applyAlignment="1" applyProtection="1">
      <alignment horizontal="right" vertical="top"/>
      <protection hidden="1"/>
    </xf>
    <xf numFmtId="0" fontId="13" fillId="2" borderId="9" xfId="1" applyFont="1" applyFill="1" applyBorder="1" applyAlignment="1" applyProtection="1">
      <alignment horizontal="center" vertical="center" wrapText="1"/>
      <protection hidden="1"/>
    </xf>
    <xf numFmtId="3" fontId="14" fillId="2" borderId="0" xfId="0" applyNumberFormat="1" applyFont="1" applyFill="1" applyProtection="1">
      <protection hidden="1"/>
    </xf>
    <xf numFmtId="3" fontId="15" fillId="2" borderId="0" xfId="0" applyNumberFormat="1" applyFont="1" applyFill="1" applyAlignment="1" applyProtection="1">
      <alignment horizontal="center"/>
      <protection hidden="1"/>
    </xf>
    <xf numFmtId="3" fontId="12" fillId="3" borderId="9" xfId="1" applyNumberFormat="1" applyFont="1" applyFill="1" applyBorder="1" applyAlignment="1" applyProtection="1">
      <alignment horizontal="center" vertical="top" wrapText="1"/>
      <protection hidden="1"/>
    </xf>
    <xf numFmtId="3" fontId="12" fillId="2" borderId="3" xfId="1" applyNumberFormat="1" applyFont="1" applyFill="1" applyBorder="1" applyAlignment="1" applyProtection="1">
      <alignment horizontal="right" vertical="top"/>
      <protection hidden="1"/>
    </xf>
    <xf numFmtId="3" fontId="12" fillId="3" borderId="3" xfId="1" applyNumberFormat="1" applyFont="1" applyFill="1" applyBorder="1" applyAlignment="1" applyProtection="1">
      <alignment horizontal="center" vertical="top" wrapText="1"/>
      <protection hidden="1"/>
    </xf>
    <xf numFmtId="3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5" xfId="1" applyNumberFormat="1" applyFont="1" applyFill="1" applyBorder="1" applyAlignment="1" applyProtection="1">
      <alignment vertical="top"/>
      <protection hidden="1"/>
    </xf>
    <xf numFmtId="0" fontId="2" fillId="2" borderId="16" xfId="1" applyFill="1" applyBorder="1" applyAlignment="1" applyProtection="1">
      <alignment vertical="top"/>
      <protection hidden="1"/>
    </xf>
    <xf numFmtId="0" fontId="2" fillId="2" borderId="17" xfId="1" applyFill="1" applyBorder="1" applyAlignment="1" applyProtection="1">
      <alignment vertical="top"/>
      <protection hidden="1"/>
    </xf>
    <xf numFmtId="3" fontId="5" fillId="2" borderId="17" xfId="1" applyNumberFormat="1" applyFont="1" applyFill="1" applyBorder="1" applyAlignment="1" applyProtection="1">
      <alignment horizontal="right" vertical="top"/>
      <protection hidden="1"/>
    </xf>
    <xf numFmtId="3" fontId="2" fillId="2" borderId="17" xfId="1" applyNumberFormat="1" applyFill="1" applyBorder="1" applyAlignment="1" applyProtection="1">
      <alignment horizontal="center" vertical="top"/>
      <protection hidden="1"/>
    </xf>
    <xf numFmtId="3" fontId="5" fillId="2" borderId="17" xfId="1" applyNumberFormat="1" applyFont="1" applyFill="1" applyBorder="1" applyAlignment="1" applyProtection="1">
      <alignment horizontal="left" vertical="top"/>
      <protection hidden="1"/>
    </xf>
    <xf numFmtId="0" fontId="2" fillId="2" borderId="18" xfId="1" applyFill="1" applyBorder="1" applyAlignment="1" applyProtection="1">
      <alignment vertical="top"/>
      <protection hidden="1"/>
    </xf>
    <xf numFmtId="3" fontId="2" fillId="2" borderId="15" xfId="1" applyNumberFormat="1" applyFont="1" applyFill="1" applyBorder="1" applyAlignment="1" applyProtection="1">
      <alignment horizontal="right" vertical="top"/>
      <protection hidden="1"/>
    </xf>
    <xf numFmtId="4" fontId="3" fillId="2" borderId="15" xfId="1" applyNumberFormat="1" applyFont="1" applyFill="1" applyBorder="1" applyAlignment="1" applyProtection="1">
      <alignment horizontal="right" vertical="top"/>
      <protection hidden="1"/>
    </xf>
    <xf numFmtId="0" fontId="2" fillId="2" borderId="4" xfId="1" applyFont="1" applyFill="1" applyBorder="1" applyAlignment="1" applyProtection="1">
      <alignment vertical="top"/>
      <protection hidden="1"/>
    </xf>
    <xf numFmtId="0" fontId="4" fillId="2" borderId="4" xfId="2" applyFont="1" applyFill="1" applyBorder="1" applyAlignment="1" applyProtection="1">
      <alignment vertical="top"/>
      <protection hidden="1"/>
    </xf>
    <xf numFmtId="0" fontId="4" fillId="2" borderId="17" xfId="2" applyFont="1" applyFill="1" applyBorder="1" applyAlignment="1" applyProtection="1">
      <alignment vertical="top"/>
      <protection hidden="1"/>
    </xf>
    <xf numFmtId="3" fontId="3" fillId="3" borderId="9" xfId="1" applyNumberFormat="1" applyFont="1" applyFill="1" applyBorder="1" applyAlignment="1" applyProtection="1">
      <alignment horizontal="center" vertical="top" wrapText="1"/>
      <protection hidden="1"/>
    </xf>
    <xf numFmtId="4" fontId="12" fillId="3" borderId="9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1" applyFill="1" applyBorder="1" applyAlignment="1" applyProtection="1">
      <alignment vertical="top"/>
      <protection hidden="1"/>
    </xf>
    <xf numFmtId="49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3" fontId="0" fillId="3" borderId="0" xfId="0" applyNumberFormat="1" applyFill="1" applyProtection="1">
      <protection hidden="1"/>
    </xf>
    <xf numFmtId="3" fontId="0" fillId="3" borderId="0" xfId="0" applyNumberFormat="1" applyFill="1" applyAlignment="1" applyProtection="1">
      <alignment horizontal="left"/>
      <protection hidden="1"/>
    </xf>
    <xf numFmtId="4" fontId="8" fillId="3" borderId="0" xfId="0" applyNumberFormat="1" applyFont="1" applyFill="1" applyProtection="1">
      <protection hidden="1"/>
    </xf>
    <xf numFmtId="3" fontId="14" fillId="3" borderId="0" xfId="0" applyNumberFormat="1" applyFont="1" applyFill="1" applyProtection="1">
      <protection hidden="1"/>
    </xf>
    <xf numFmtId="3" fontId="3" fillId="2" borderId="1" xfId="1" applyNumberFormat="1" applyFont="1" applyFill="1" applyBorder="1" applyAlignment="1" applyProtection="1">
      <alignment horizontal="right" vertical="top"/>
      <protection hidden="1"/>
    </xf>
    <xf numFmtId="3" fontId="3" fillId="4" borderId="1" xfId="1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 applyBorder="1" applyProtection="1">
      <protection hidden="1"/>
    </xf>
    <xf numFmtId="3" fontId="8" fillId="2" borderId="0" xfId="0" applyNumberFormat="1" applyFont="1" applyFill="1" applyProtection="1">
      <protection hidden="1"/>
    </xf>
    <xf numFmtId="0" fontId="16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3" fontId="20" fillId="2" borderId="0" xfId="0" applyNumberFormat="1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3" fontId="3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top" wrapText="1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center" vertical="top" wrapText="1"/>
      <protection hidden="1"/>
    </xf>
    <xf numFmtId="0" fontId="6" fillId="3" borderId="6" xfId="1" applyFont="1" applyFill="1" applyBorder="1" applyAlignment="1" applyProtection="1">
      <alignment horizontal="center" vertical="top" wrapText="1"/>
      <protection hidden="1"/>
    </xf>
    <xf numFmtId="3" fontId="6" fillId="3" borderId="6" xfId="1" applyNumberFormat="1" applyFont="1" applyFill="1" applyBorder="1" applyAlignment="1" applyProtection="1">
      <alignment horizontal="center" vertical="top" wrapText="1"/>
      <protection hidden="1"/>
    </xf>
    <xf numFmtId="4" fontId="3" fillId="3" borderId="6" xfId="1" applyNumberFormat="1" applyFont="1" applyFill="1" applyBorder="1" applyAlignment="1" applyProtection="1">
      <alignment horizontal="center" vertical="top" wrapText="1"/>
      <protection hidden="1"/>
    </xf>
    <xf numFmtId="0" fontId="7" fillId="2" borderId="9" xfId="0" applyFont="1" applyFill="1" applyBorder="1" applyAlignment="1" applyProtection="1">
      <alignment horizontal="center" vertical="top" wrapText="1"/>
      <protection hidden="1"/>
    </xf>
    <xf numFmtId="0" fontId="17" fillId="2" borderId="0" xfId="0" applyFont="1" applyFill="1" applyAlignment="1" applyProtection="1">
      <alignment horizontal="center" vertical="top" wrapText="1"/>
      <protection hidden="1"/>
    </xf>
    <xf numFmtId="0" fontId="0" fillId="2" borderId="2" xfId="0" applyFill="1" applyBorder="1" applyProtection="1">
      <protection hidden="1"/>
    </xf>
    <xf numFmtId="0" fontId="9" fillId="2" borderId="0" xfId="2" applyFill="1" applyProtection="1">
      <protection hidden="1"/>
    </xf>
    <xf numFmtId="4" fontId="22" fillId="2" borderId="0" xfId="0" applyNumberFormat="1" applyFont="1" applyFill="1" applyProtection="1">
      <protection hidden="1"/>
    </xf>
    <xf numFmtId="0" fontId="7" fillId="2" borderId="2" xfId="0" applyFont="1" applyFill="1" applyBorder="1" applyAlignment="1" applyProtection="1">
      <alignment horizontal="center" vertical="top" wrapText="1"/>
      <protection hidden="1"/>
    </xf>
    <xf numFmtId="0" fontId="4" fillId="2" borderId="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3" fontId="3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Protection="1">
      <protection hidden="1"/>
    </xf>
    <xf numFmtId="3" fontId="8" fillId="3" borderId="0" xfId="0" applyNumberFormat="1" applyFont="1" applyFill="1" applyProtection="1">
      <protection hidden="1"/>
    </xf>
    <xf numFmtId="4" fontId="3" fillId="4" borderId="1" xfId="1" applyNumberFormat="1" applyFont="1" applyFill="1" applyBorder="1" applyAlignment="1" applyProtection="1">
      <alignment horizontal="right" vertical="top"/>
      <protection locked="0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23" fillId="2" borderId="0" xfId="0" applyFont="1" applyFill="1" applyBorder="1" applyProtection="1">
      <protection hidden="1"/>
    </xf>
    <xf numFmtId="4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0" xfId="1" applyNumberFormat="1" applyFont="1" applyFill="1" applyBorder="1" applyAlignment="1" applyProtection="1">
      <alignment horizontal="right" vertical="top"/>
      <protection hidden="1"/>
    </xf>
    <xf numFmtId="3" fontId="3" fillId="3" borderId="1" xfId="1" applyNumberFormat="1" applyFont="1" applyFill="1" applyBorder="1" applyAlignment="1" applyProtection="1">
      <alignment horizontal="center" vertical="top" wrapText="1"/>
      <protection hidden="1"/>
    </xf>
    <xf numFmtId="3" fontId="3" fillId="2" borderId="15" xfId="1" applyNumberFormat="1" applyFont="1" applyFill="1" applyBorder="1" applyAlignment="1" applyProtection="1">
      <alignment horizontal="right" vertical="top"/>
      <protection hidden="1"/>
    </xf>
    <xf numFmtId="164" fontId="3" fillId="2" borderId="1" xfId="1" applyNumberFormat="1" applyFont="1" applyFill="1" applyBorder="1" applyAlignment="1" applyProtection="1">
      <alignment horizontal="right" vertical="top"/>
      <protection hidden="1"/>
    </xf>
    <xf numFmtId="4" fontId="3" fillId="2" borderId="0" xfId="1" applyNumberFormat="1" applyFont="1" applyFill="1" applyBorder="1" applyAlignment="1" applyProtection="1">
      <alignment horizontal="center" vertical="top" wrapText="1"/>
      <protection hidden="1"/>
    </xf>
    <xf numFmtId="4" fontId="3" fillId="2" borderId="13" xfId="1" applyNumberFormat="1" applyFont="1" applyFill="1" applyBorder="1" applyAlignment="1" applyProtection="1">
      <alignment horizontal="center" vertical="center" wrapText="1"/>
      <protection hidden="1"/>
    </xf>
    <xf numFmtId="4" fontId="3" fillId="3" borderId="12" xfId="1" applyNumberFormat="1" applyFont="1" applyFill="1" applyBorder="1" applyAlignment="1" applyProtection="1">
      <alignment horizontal="center" vertical="top" wrapText="1"/>
      <protection hidden="1"/>
    </xf>
    <xf numFmtId="4" fontId="3" fillId="2" borderId="22" xfId="1" applyNumberFormat="1" applyFont="1" applyFill="1" applyBorder="1" applyAlignment="1" applyProtection="1">
      <alignment horizontal="center" vertical="center" wrapText="1"/>
      <protection hidden="1"/>
    </xf>
    <xf numFmtId="4" fontId="8" fillId="3" borderId="23" xfId="0" applyNumberFormat="1" applyFont="1" applyFill="1" applyBorder="1" applyProtection="1">
      <protection hidden="1"/>
    </xf>
    <xf numFmtId="4" fontId="24" fillId="2" borderId="0" xfId="0" applyNumberFormat="1" applyFont="1" applyFill="1" applyBorder="1" applyProtection="1">
      <protection hidden="1"/>
    </xf>
    <xf numFmtId="3" fontId="4" fillId="2" borderId="0" xfId="0" applyNumberFormat="1" applyFont="1" applyFill="1" applyBorder="1" applyProtection="1">
      <protection hidden="1"/>
    </xf>
    <xf numFmtId="3" fontId="25" fillId="2" borderId="0" xfId="0" applyNumberFormat="1" applyFont="1" applyFill="1" applyBorder="1" applyAlignment="1" applyProtection="1">
      <protection hidden="1"/>
    </xf>
    <xf numFmtId="0" fontId="26" fillId="2" borderId="0" xfId="0" applyFont="1" applyFill="1" applyAlignment="1" applyProtection="1">
      <alignment horizontal="center" vertical="top" wrapText="1"/>
      <protection hidden="1"/>
    </xf>
    <xf numFmtId="0" fontId="26" fillId="2" borderId="0" xfId="0" applyFont="1" applyFill="1" applyAlignment="1" applyProtection="1">
      <alignment horizontal="center" vertical="center" wrapText="1"/>
      <protection hidden="1"/>
    </xf>
    <xf numFmtId="165" fontId="27" fillId="2" borderId="0" xfId="0" applyNumberFormat="1" applyFont="1" applyFill="1" applyBorder="1" applyProtection="1">
      <protection locked="0"/>
    </xf>
    <xf numFmtId="0" fontId="4" fillId="2" borderId="0" xfId="0" applyNumberFormat="1" applyFont="1" applyFill="1" applyProtection="1">
      <protection hidden="1"/>
    </xf>
    <xf numFmtId="4" fontId="0" fillId="2" borderId="0" xfId="0" applyNumberFormat="1" applyFill="1" applyProtection="1">
      <protection hidden="1"/>
    </xf>
    <xf numFmtId="3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1" applyNumberFormat="1" applyFont="1" applyFill="1" applyBorder="1" applyAlignment="1" applyProtection="1">
      <alignment horizontal="right" vertical="top"/>
      <protection hidden="1"/>
    </xf>
    <xf numFmtId="3" fontId="6" fillId="2" borderId="0" xfId="1" applyNumberFormat="1" applyFont="1" applyFill="1" applyBorder="1" applyAlignment="1" applyProtection="1">
      <alignment horizontal="center" vertical="top" wrapText="1"/>
      <protection hidden="1"/>
    </xf>
    <xf numFmtId="3" fontId="28" fillId="2" borderId="1" xfId="1" applyNumberFormat="1" applyFont="1" applyFill="1" applyBorder="1" applyAlignment="1" applyProtection="1">
      <alignment horizontal="center" vertical="center"/>
      <protection hidden="1"/>
    </xf>
    <xf numFmtId="0" fontId="9" fillId="2" borderId="0" xfId="2" applyFill="1" applyAlignment="1" applyProtection="1">
      <alignment horizontal="left" vertical="center" wrapText="1"/>
      <protection hidden="1"/>
    </xf>
    <xf numFmtId="0" fontId="2" fillId="2" borderId="4" xfId="1" applyFont="1" applyFill="1" applyBorder="1" applyAlignment="1" applyProtection="1">
      <alignment horizontal="left" vertical="top"/>
      <protection hidden="1"/>
    </xf>
    <xf numFmtId="4" fontId="21" fillId="2" borderId="19" xfId="1" applyNumberFormat="1" applyFont="1" applyFill="1" applyBorder="1" applyAlignment="1" applyProtection="1">
      <alignment horizontal="center" vertical="center" wrapText="1"/>
      <protection hidden="1"/>
    </xf>
    <xf numFmtId="4" fontId="21" fillId="2" borderId="20" xfId="1" applyNumberFormat="1" applyFont="1" applyFill="1" applyBorder="1" applyAlignment="1" applyProtection="1">
      <alignment horizontal="center" vertical="center" wrapText="1"/>
      <protection hidden="1"/>
    </xf>
    <xf numFmtId="4" fontId="21" fillId="2" borderId="21" xfId="1" applyNumberFormat="1" applyFont="1" applyFill="1" applyBorder="1" applyAlignment="1" applyProtection="1">
      <alignment horizontal="center" vertical="center" wrapText="1"/>
      <protection hidden="1"/>
    </xf>
    <xf numFmtId="4" fontId="10" fillId="2" borderId="0" xfId="0" applyNumberFormat="1" applyFont="1" applyFill="1" applyAlignment="1" applyProtection="1">
      <alignment horizontal="center"/>
      <protection hidden="1"/>
    </xf>
    <xf numFmtId="0" fontId="6" fillId="2" borderId="19" xfId="1" applyFont="1" applyFill="1" applyBorder="1" applyAlignment="1" applyProtection="1">
      <alignment horizontal="right" vertical="center" wrapText="1"/>
      <protection hidden="1"/>
    </xf>
    <xf numFmtId="0" fontId="6" fillId="2" borderId="20" xfId="1" applyFont="1" applyFill="1" applyBorder="1" applyAlignment="1" applyProtection="1">
      <alignment horizontal="right" vertical="center" wrapText="1"/>
      <protection hidden="1"/>
    </xf>
    <xf numFmtId="0" fontId="6" fillId="2" borderId="21" xfId="1" applyFont="1" applyFill="1" applyBorder="1" applyAlignment="1" applyProtection="1">
      <alignment horizontal="right" vertical="center" wrapText="1"/>
      <protection hidden="1"/>
    </xf>
    <xf numFmtId="4" fontId="27" fillId="2" borderId="0" xfId="0" applyNumberFormat="1" applyFont="1" applyFill="1" applyBorder="1" applyProtection="1">
      <protection hidden="1"/>
    </xf>
  </cellXfs>
  <cellStyles count="3">
    <cellStyle name="Гиперссылка" xfId="2" builtinId="8"/>
    <cellStyle name="Обычный" xfId="0" builtinId="0"/>
    <cellStyle name="Обычный_Лист1" xfId="1" xr:uid="{A268633D-1D80-44CD-9062-67879C24C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43961</xdr:rowOff>
    </xdr:from>
    <xdr:to>
      <xdr:col>1</xdr:col>
      <xdr:colOff>414558</xdr:colOff>
      <xdr:row>6</xdr:row>
      <xdr:rowOff>74050</xdr:rowOff>
    </xdr:to>
    <xdr:pic>
      <xdr:nvPicPr>
        <xdr:cNvPr id="2" name="Рисунок 1" descr="2013-03-28">
          <a:extLst>
            <a:ext uri="{FF2B5EF4-FFF2-40B4-BE49-F238E27FC236}">
              <a16:creationId xmlns:a16="http://schemas.microsoft.com/office/drawing/2014/main" id="{6A8D1ECA-4017-4CB2-9CD2-7385697194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">
              <a14:useLocalDpi xmlns:lc="http://schemas.openxmlformats.org/drawingml/2006/lockedCanvas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val="0"/>
            </a:ext>
          </a:extLst>
        </a:blip>
        <a:srcRect/>
        <a:stretch>
          <a:fillRect/>
        </a:stretch>
      </xdr:blipFill>
      <xdr:spPr bwMode="auto">
        <a:xfrm>
          <a:off x="43962" y="43961"/>
          <a:ext cx="110299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rgpolymer.ru" TargetMode="External"/><Relationship Id="rId1" Type="http://schemas.openxmlformats.org/officeDocument/2006/relationships/hyperlink" Target="http://www.georg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D104"/>
  <sheetViews>
    <sheetView showZeros="0" tabSelected="1" zoomScaleNormal="100" workbookViewId="0">
      <pane ySplit="10" topLeftCell="A38" activePane="bottomLeft" state="frozen"/>
      <selection pane="bottomLeft" activeCell="R20" sqref="R20"/>
    </sheetView>
  </sheetViews>
  <sheetFormatPr defaultColWidth="9.109375" defaultRowHeight="14.4" x14ac:dyDescent="0.3"/>
  <cols>
    <col min="1" max="1" width="11.109375" style="6" customWidth="1"/>
    <col min="2" max="2" width="13.88671875" style="7" customWidth="1"/>
    <col min="3" max="3" width="10.33203125" style="7" customWidth="1"/>
    <col min="4" max="4" width="8.44140625" style="7" customWidth="1"/>
    <col min="5" max="5" width="7.109375" style="7" customWidth="1"/>
    <col min="6" max="6" width="6.33203125" style="8" customWidth="1"/>
    <col min="7" max="7" width="8" style="8" customWidth="1"/>
    <col min="8" max="8" width="8.33203125" style="9" customWidth="1"/>
    <col min="9" max="9" width="13.6640625" style="7" customWidth="1"/>
    <col min="10" max="10" width="9.109375" style="8"/>
    <col min="11" max="11" width="10.5546875" style="8" customWidth="1"/>
    <col min="12" max="12" width="8.109375" style="8" customWidth="1"/>
    <col min="13" max="13" width="13.33203125" style="2" customWidth="1"/>
    <col min="14" max="14" width="12.33203125" style="2" customWidth="1"/>
    <col min="15" max="15" width="2.109375" style="65" customWidth="1"/>
    <col min="16" max="16" width="8.88671875" style="66" customWidth="1"/>
    <col min="17" max="17" width="7.109375" style="36" customWidth="1"/>
    <col min="18" max="18" width="11.6640625" style="2" customWidth="1"/>
    <col min="19" max="20" width="11.6640625" style="108" hidden="1" customWidth="1"/>
    <col min="21" max="21" width="2.33203125" style="7" customWidth="1"/>
    <col min="22" max="22" width="41" style="67" customWidth="1"/>
    <col min="23" max="23" width="2.44140625" style="67" customWidth="1"/>
    <col min="24" max="24" width="9.109375" style="68" customWidth="1"/>
    <col min="25" max="25" width="9.109375" style="7" customWidth="1"/>
    <col min="26" max="26" width="9.109375" style="86"/>
    <col min="27" max="27" width="9.109375" style="7" customWidth="1"/>
    <col min="28" max="29" width="9.109375" style="86"/>
    <col min="30" max="16384" width="9.109375" style="7"/>
  </cols>
  <sheetData>
    <row r="1" spans="1:30" ht="13.5" customHeight="1" x14ac:dyDescent="0.3">
      <c r="M1" s="10" t="s">
        <v>89</v>
      </c>
      <c r="N1" s="10"/>
    </row>
    <row r="2" spans="1:30" ht="12" customHeight="1" x14ac:dyDescent="0.3">
      <c r="M2" s="10" t="s">
        <v>90</v>
      </c>
      <c r="N2" s="10"/>
      <c r="P2" s="21" t="s">
        <v>100</v>
      </c>
      <c r="Q2" s="69" t="s">
        <v>103</v>
      </c>
      <c r="R2" s="8"/>
      <c r="S2" s="109"/>
      <c r="T2" s="109"/>
    </row>
    <row r="3" spans="1:30" ht="12" customHeight="1" x14ac:dyDescent="0.3">
      <c r="M3" s="10" t="s">
        <v>94</v>
      </c>
      <c r="N3" s="10"/>
      <c r="P3" s="21" t="s">
        <v>99</v>
      </c>
      <c r="Q3" s="7" t="s">
        <v>102</v>
      </c>
      <c r="R3" s="8"/>
      <c r="S3" s="109"/>
      <c r="T3" s="109"/>
    </row>
    <row r="4" spans="1:30" ht="11.25" customHeight="1" x14ac:dyDescent="0.3">
      <c r="M4" s="11" t="s">
        <v>92</v>
      </c>
      <c r="N4" s="11"/>
      <c r="P4" s="44" t="s">
        <v>101</v>
      </c>
      <c r="Q4" s="7" t="s">
        <v>104</v>
      </c>
      <c r="R4" s="8"/>
      <c r="S4" s="109"/>
      <c r="T4" s="109"/>
    </row>
    <row r="5" spans="1:30" ht="6.75" customHeight="1" x14ac:dyDescent="0.3">
      <c r="M5" s="11"/>
      <c r="N5" s="11"/>
      <c r="P5" s="56"/>
      <c r="Q5" s="7"/>
      <c r="R5" s="8"/>
      <c r="S5" s="109"/>
      <c r="T5" s="109"/>
    </row>
    <row r="6" spans="1:30" ht="12.75" customHeight="1" x14ac:dyDescent="0.3">
      <c r="M6" s="11" t="s">
        <v>91</v>
      </c>
      <c r="N6" s="11"/>
      <c r="P6" s="113">
        <v>1</v>
      </c>
      <c r="Q6" s="7"/>
      <c r="S6" s="129">
        <v>1</v>
      </c>
    </row>
    <row r="7" spans="1:30" ht="22.5" customHeight="1" x14ac:dyDescent="0.5">
      <c r="C7" s="125" t="s">
        <v>126</v>
      </c>
      <c r="D7" s="125"/>
      <c r="E7" s="125"/>
      <c r="F7" s="125"/>
      <c r="G7" s="125"/>
      <c r="H7" s="125"/>
      <c r="I7" s="125"/>
      <c r="M7" s="10"/>
      <c r="N7" s="10"/>
      <c r="P7" s="70" t="s">
        <v>88</v>
      </c>
      <c r="Q7" s="37"/>
      <c r="R7" s="3"/>
      <c r="S7" s="110"/>
      <c r="T7" s="110"/>
    </row>
    <row r="8" spans="1:30" ht="5.25" customHeight="1" thickBot="1" x14ac:dyDescent="0.35">
      <c r="M8" s="10"/>
      <c r="N8" s="10"/>
    </row>
    <row r="9" spans="1:30" s="73" customFormat="1" ht="41.25" customHeight="1" thickBot="1" x14ac:dyDescent="0.35">
      <c r="A9" s="12" t="s">
        <v>53</v>
      </c>
      <c r="B9" s="13" t="s">
        <v>65</v>
      </c>
      <c r="C9" s="14" t="s">
        <v>69</v>
      </c>
      <c r="D9" s="14" t="s">
        <v>76</v>
      </c>
      <c r="E9" s="35" t="s">
        <v>95</v>
      </c>
      <c r="F9" s="15" t="s">
        <v>58</v>
      </c>
      <c r="G9" s="16" t="s">
        <v>64</v>
      </c>
      <c r="H9" s="15" t="s">
        <v>93</v>
      </c>
      <c r="I9" s="17" t="s">
        <v>59</v>
      </c>
      <c r="J9" s="18" t="s">
        <v>60</v>
      </c>
      <c r="K9" s="18" t="s">
        <v>136</v>
      </c>
      <c r="L9" s="18" t="s">
        <v>61</v>
      </c>
      <c r="M9" s="4" t="s">
        <v>130</v>
      </c>
      <c r="N9" s="4" t="s">
        <v>131</v>
      </c>
      <c r="O9" s="71"/>
      <c r="P9" s="72" t="s">
        <v>87</v>
      </c>
      <c r="Q9" s="16" t="s">
        <v>96</v>
      </c>
      <c r="R9" s="104" t="s">
        <v>108</v>
      </c>
      <c r="S9" s="98"/>
      <c r="T9" s="98"/>
      <c r="V9" s="74" t="s">
        <v>107</v>
      </c>
      <c r="W9" s="74"/>
      <c r="X9" s="75"/>
      <c r="Z9" s="111"/>
      <c r="AB9" s="111"/>
      <c r="AC9" s="111"/>
    </row>
    <row r="10" spans="1:30" s="73" customFormat="1" ht="11.25" customHeight="1" x14ac:dyDescent="0.3">
      <c r="A10" s="76"/>
      <c r="B10" s="76"/>
      <c r="C10" s="76"/>
      <c r="D10" s="76"/>
      <c r="E10" s="76"/>
      <c r="F10" s="77"/>
      <c r="G10" s="77"/>
      <c r="H10" s="77"/>
      <c r="I10" s="76"/>
      <c r="J10" s="77"/>
      <c r="K10" s="77"/>
      <c r="L10" s="77"/>
      <c r="M10" s="78"/>
      <c r="N10" s="78"/>
      <c r="O10" s="79"/>
      <c r="P10" s="54"/>
      <c r="Q10" s="38"/>
      <c r="R10" s="105"/>
      <c r="S10" s="103"/>
      <c r="T10" s="103"/>
      <c r="V10" s="80"/>
      <c r="W10" s="80"/>
      <c r="X10" s="75"/>
      <c r="Z10" s="111"/>
      <c r="AB10" s="111"/>
      <c r="AC10" s="111"/>
    </row>
    <row r="11" spans="1:30" x14ac:dyDescent="0.3">
      <c r="A11" s="19" t="s">
        <v>17</v>
      </c>
      <c r="B11" s="20" t="s">
        <v>67</v>
      </c>
      <c r="C11" s="21"/>
      <c r="D11" s="21"/>
      <c r="E11" s="21" t="s">
        <v>54</v>
      </c>
      <c r="F11" s="22">
        <v>120</v>
      </c>
      <c r="G11" s="23" t="s">
        <v>80</v>
      </c>
      <c r="H11" s="24">
        <v>37</v>
      </c>
      <c r="I11" s="25" t="s">
        <v>55</v>
      </c>
      <c r="J11" s="63">
        <v>1520</v>
      </c>
      <c r="K11" s="119" t="s">
        <v>137</v>
      </c>
      <c r="L11" s="26">
        <v>24320</v>
      </c>
      <c r="M11" s="27">
        <v>2.7841499999999995</v>
      </c>
      <c r="N11" s="27">
        <v>2.4209999999999998</v>
      </c>
      <c r="O11" s="81"/>
      <c r="P11" s="64"/>
      <c r="Q11" s="39" t="str">
        <f t="shared" ref="Q11:Q56" si="0">IF(P11*J11=0,"",P11*J11)</f>
        <v/>
      </c>
      <c r="R11" s="27">
        <f>IFERROR(IF($S$104&gt;499000,N11*Q11,M11*Q11),0)</f>
        <v>0</v>
      </c>
      <c r="S11" s="99">
        <f>IFERROR(M11*Q11,0)</f>
        <v>0</v>
      </c>
      <c r="T11" s="99">
        <f>IFERROR(N11*Q11,0)</f>
        <v>0</v>
      </c>
      <c r="V11" s="82" t="str">
        <f>IFERROR("Вам потребуется "&amp;ROUND(VLOOKUP(F11,'списки и справочники'!A:C,3,FALSE)*Q11/1000,2)&amp;" кг пленки ЗАКАЗАТЬ","")</f>
        <v/>
      </c>
      <c r="W11" s="83"/>
      <c r="X11" s="68">
        <f>IFERROR(ROUND(VLOOKUP(F11,'списки и справочники'!A:C,3,FALSE)*Q11/1000,2),0)</f>
        <v>0</v>
      </c>
      <c r="Z11" s="114"/>
      <c r="AB11" s="114"/>
      <c r="AD11" s="115"/>
    </row>
    <row r="12" spans="1:30" x14ac:dyDescent="0.3">
      <c r="A12" s="19" t="s">
        <v>21</v>
      </c>
      <c r="B12" s="20" t="s">
        <v>67</v>
      </c>
      <c r="C12" s="21"/>
      <c r="D12" s="21"/>
      <c r="E12" s="21" t="s">
        <v>54</v>
      </c>
      <c r="F12" s="22">
        <v>120</v>
      </c>
      <c r="G12" s="23" t="s">
        <v>80</v>
      </c>
      <c r="H12" s="24">
        <v>75</v>
      </c>
      <c r="I12" s="25" t="s">
        <v>55</v>
      </c>
      <c r="J12" s="63">
        <v>1120</v>
      </c>
      <c r="K12" s="119" t="s">
        <v>137</v>
      </c>
      <c r="L12" s="26">
        <v>17920</v>
      </c>
      <c r="M12" s="27">
        <v>4.0054499999999997</v>
      </c>
      <c r="N12" s="27">
        <v>3.4830000000000001</v>
      </c>
      <c r="O12" s="81"/>
      <c r="P12" s="64"/>
      <c r="Q12" s="39" t="str">
        <f t="shared" si="0"/>
        <v/>
      </c>
      <c r="R12" s="27">
        <f>IFERROR(IF($S$104&gt;499000,N12*Q12,M12*Q12),0)</f>
        <v>0</v>
      </c>
      <c r="S12" s="99">
        <f>IFERROR(M12*Q12,0)</f>
        <v>0</v>
      </c>
      <c r="T12" s="99">
        <f>IFERROR(N12*Q12,0)</f>
        <v>0</v>
      </c>
      <c r="V12" s="82" t="str">
        <f>IFERROR("Вам потребуется "&amp;ROUND(VLOOKUP(F12,'списки и справочники'!A:C,3,FALSE)*Q12/1000,2)&amp;" кг пленки ЗАКАЗАТЬ","")</f>
        <v/>
      </c>
      <c r="W12" s="83"/>
      <c r="X12" s="68">
        <f>IFERROR(ROUND(VLOOKUP(F12,'списки и справочники'!A:C,3,FALSE)*Q12/1000,2),0)</f>
        <v>0</v>
      </c>
      <c r="Z12" s="114"/>
      <c r="AB12" s="114"/>
      <c r="AD12" s="115"/>
    </row>
    <row r="13" spans="1:30" s="73" customFormat="1" ht="4.5" customHeight="1" x14ac:dyDescent="0.3">
      <c r="A13" s="28" t="s">
        <v>77</v>
      </c>
      <c r="B13" s="28"/>
      <c r="C13" s="28"/>
      <c r="D13" s="28"/>
      <c r="E13" s="28"/>
      <c r="F13" s="29"/>
      <c r="G13" s="30"/>
      <c r="H13" s="30"/>
      <c r="I13" s="28"/>
      <c r="J13" s="100"/>
      <c r="K13" s="100"/>
      <c r="L13" s="30"/>
      <c r="M13" s="31"/>
      <c r="N13" s="31"/>
      <c r="O13" s="84"/>
      <c r="P13" s="1"/>
      <c r="Q13" s="40" t="str">
        <f t="shared" si="0"/>
        <v/>
      </c>
      <c r="R13" s="31"/>
      <c r="S13" s="99"/>
      <c r="T13" s="99"/>
      <c r="U13" s="7"/>
      <c r="V13" s="82" t="str">
        <f>IFERROR("Вам потребуется "&amp;ROUND(VLOOKUP(F13,'списки и справочники'!A:C,3,FALSE)*Q13/1000,2)&amp;" кг пленки ЗАКАЗАТЬ","")</f>
        <v/>
      </c>
      <c r="W13" s="83"/>
      <c r="X13" s="68"/>
      <c r="Y13" s="7"/>
      <c r="Z13" s="114"/>
      <c r="AA13" s="7"/>
      <c r="AB13" s="114"/>
      <c r="AC13" s="86"/>
      <c r="AD13" s="115"/>
    </row>
    <row r="14" spans="1:30" x14ac:dyDescent="0.3">
      <c r="A14" s="19" t="s">
        <v>62</v>
      </c>
      <c r="B14" s="20" t="s">
        <v>66</v>
      </c>
      <c r="C14" s="21"/>
      <c r="D14" s="21"/>
      <c r="E14" s="21"/>
      <c r="F14" s="22">
        <v>147</v>
      </c>
      <c r="G14" s="23" t="s">
        <v>81</v>
      </c>
      <c r="H14" s="24">
        <v>13</v>
      </c>
      <c r="I14" s="25" t="s">
        <v>55</v>
      </c>
      <c r="J14" s="63">
        <v>1080</v>
      </c>
      <c r="K14" s="119" t="s">
        <v>137</v>
      </c>
      <c r="L14" s="26">
        <f>16*1080</f>
        <v>17280</v>
      </c>
      <c r="M14" s="27">
        <v>2.82</v>
      </c>
      <c r="N14" s="27">
        <v>2.71</v>
      </c>
      <c r="O14" s="81"/>
      <c r="P14" s="64"/>
      <c r="Q14" s="39" t="str">
        <f t="shared" si="0"/>
        <v/>
      </c>
      <c r="R14" s="27">
        <f>IFERROR(IF($S$104&gt;499000,N14*Q14,M14*Q14),0)</f>
        <v>0</v>
      </c>
      <c r="S14" s="99">
        <f t="shared" ref="S14:S17" si="1">IFERROR(M14*Q14,0)</f>
        <v>0</v>
      </c>
      <c r="T14" s="99">
        <f t="shared" ref="T14:T17" si="2">IFERROR(N14*Q14,0)</f>
        <v>0</v>
      </c>
      <c r="V14" s="82"/>
      <c r="W14" s="83"/>
      <c r="X14" s="68">
        <f>IFERROR(ROUND(VLOOKUP(F14,'списки и справочники'!A:C,3,FALSE)*Q14/1000,2),0)</f>
        <v>0</v>
      </c>
      <c r="Z14" s="114"/>
      <c r="AB14" s="114"/>
      <c r="AD14" s="115"/>
    </row>
    <row r="15" spans="1:30" x14ac:dyDescent="0.3">
      <c r="A15" s="19" t="s">
        <v>20</v>
      </c>
      <c r="B15" s="20" t="s">
        <v>67</v>
      </c>
      <c r="C15" s="21"/>
      <c r="D15" s="21"/>
      <c r="E15" s="21" t="s">
        <v>54</v>
      </c>
      <c r="F15" s="22">
        <v>147</v>
      </c>
      <c r="G15" s="23" t="s">
        <v>81</v>
      </c>
      <c r="H15" s="24">
        <v>36</v>
      </c>
      <c r="I15" s="25" t="s">
        <v>55</v>
      </c>
      <c r="J15" s="63">
        <v>1122</v>
      </c>
      <c r="K15" s="119" t="s">
        <v>137</v>
      </c>
      <c r="L15" s="26">
        <v>17952</v>
      </c>
      <c r="M15" s="27">
        <v>2.6309699999999996</v>
      </c>
      <c r="N15" s="27">
        <v>2.2877999999999998</v>
      </c>
      <c r="O15" s="81"/>
      <c r="P15" s="64"/>
      <c r="Q15" s="39" t="str">
        <f t="shared" si="0"/>
        <v/>
      </c>
      <c r="R15" s="27">
        <f>IFERROR(IF($S$104&gt;499000,N15*Q15,M15*Q15),0)</f>
        <v>0</v>
      </c>
      <c r="S15" s="99">
        <f t="shared" si="1"/>
        <v>0</v>
      </c>
      <c r="T15" s="99">
        <f t="shared" si="2"/>
        <v>0</v>
      </c>
      <c r="V15" s="82" t="str">
        <f>IFERROR("Вам потребуется "&amp;ROUND(VLOOKUP(F15,'списки и справочники'!A:C,3,FALSE)*Q15/1000,2)&amp;" кг пленки ЗАКАЗАТЬ","")</f>
        <v/>
      </c>
      <c r="W15" s="83"/>
      <c r="X15" s="68">
        <f>IFERROR(ROUND(VLOOKUP(F15,'списки и справочники'!A:C,3,FALSE)*Q15/1000,2),0)</f>
        <v>0</v>
      </c>
      <c r="Z15" s="114"/>
      <c r="AB15" s="114"/>
      <c r="AD15" s="115"/>
    </row>
    <row r="16" spans="1:30" x14ac:dyDescent="0.3">
      <c r="A16" s="19" t="s">
        <v>12</v>
      </c>
      <c r="B16" s="20" t="s">
        <v>67</v>
      </c>
      <c r="C16" s="21"/>
      <c r="D16" s="21"/>
      <c r="E16" s="21" t="s">
        <v>54</v>
      </c>
      <c r="F16" s="22">
        <v>147</v>
      </c>
      <c r="G16" s="23" t="s">
        <v>81</v>
      </c>
      <c r="H16" s="24">
        <v>50</v>
      </c>
      <c r="I16" s="25" t="s">
        <v>55</v>
      </c>
      <c r="J16" s="63">
        <v>1122</v>
      </c>
      <c r="K16" s="119" t="s">
        <v>137</v>
      </c>
      <c r="L16" s="26">
        <v>17952</v>
      </c>
      <c r="M16" s="27">
        <v>3.1169600000000002</v>
      </c>
      <c r="N16" s="27">
        <v>2.7104000000000004</v>
      </c>
      <c r="O16" s="81"/>
      <c r="P16" s="64"/>
      <c r="Q16" s="39" t="str">
        <f t="shared" si="0"/>
        <v/>
      </c>
      <c r="R16" s="27">
        <f>IFERROR(IF($S$104&gt;499000,N16*Q16,M16*Q16),0)</f>
        <v>0</v>
      </c>
      <c r="S16" s="99">
        <f t="shared" si="1"/>
        <v>0</v>
      </c>
      <c r="T16" s="99">
        <f t="shared" si="2"/>
        <v>0</v>
      </c>
      <c r="V16" s="82" t="str">
        <f>IFERROR("Вам потребуется "&amp;ROUND(VLOOKUP(F16,'списки и справочники'!A:C,3,FALSE)*Q16/1000,2)&amp;" кг пленки ЗАКАЗАТЬ","")</f>
        <v/>
      </c>
      <c r="W16" s="83"/>
      <c r="X16" s="68">
        <f>IFERROR(ROUND(VLOOKUP(F16,'списки и справочники'!A:C,3,FALSE)*Q16/1000,2),0)</f>
        <v>0</v>
      </c>
      <c r="Z16" s="114"/>
      <c r="AB16" s="114"/>
      <c r="AD16" s="115"/>
    </row>
    <row r="17" spans="1:30" x14ac:dyDescent="0.3">
      <c r="A17" s="19" t="s">
        <v>10</v>
      </c>
      <c r="B17" s="20" t="s">
        <v>67</v>
      </c>
      <c r="C17" s="21"/>
      <c r="D17" s="21"/>
      <c r="E17" s="21" t="s">
        <v>54</v>
      </c>
      <c r="F17" s="22">
        <v>147</v>
      </c>
      <c r="G17" s="23" t="s">
        <v>81</v>
      </c>
      <c r="H17" s="24">
        <v>75</v>
      </c>
      <c r="I17" s="25" t="s">
        <v>55</v>
      </c>
      <c r="J17" s="63">
        <v>1020</v>
      </c>
      <c r="K17" s="119" t="s">
        <v>137</v>
      </c>
      <c r="L17" s="26">
        <v>16320</v>
      </c>
      <c r="M17" s="27">
        <v>3.851925</v>
      </c>
      <c r="N17" s="27">
        <v>3.3495000000000004</v>
      </c>
      <c r="O17" s="81"/>
      <c r="P17" s="64"/>
      <c r="Q17" s="39" t="str">
        <f t="shared" si="0"/>
        <v/>
      </c>
      <c r="R17" s="27">
        <f>IFERROR(IF($S$104&gt;499000,N17*Q17,M17*Q17),0)</f>
        <v>0</v>
      </c>
      <c r="S17" s="99">
        <f t="shared" si="1"/>
        <v>0</v>
      </c>
      <c r="T17" s="99">
        <f t="shared" si="2"/>
        <v>0</v>
      </c>
      <c r="V17" s="82" t="str">
        <f>IFERROR("Вам потребуется "&amp;ROUND(VLOOKUP(F17,'списки и справочники'!A:C,3,FALSE)*Q17/1000,2)&amp;" кг пленки ЗАКАЗАТЬ","")</f>
        <v/>
      </c>
      <c r="W17" s="83"/>
      <c r="X17" s="68">
        <f>IFERROR(ROUND(VLOOKUP(F17,'списки и справочники'!A:C,3,FALSE)*Q17/1000,2),0)</f>
        <v>0</v>
      </c>
      <c r="Z17" s="114"/>
      <c r="AB17" s="114"/>
      <c r="AD17" s="115"/>
    </row>
    <row r="18" spans="1:30" s="73" customFormat="1" ht="4.5" customHeight="1" x14ac:dyDescent="0.3">
      <c r="A18" s="28" t="s">
        <v>77</v>
      </c>
      <c r="B18" s="28"/>
      <c r="C18" s="28"/>
      <c r="D18" s="28"/>
      <c r="E18" s="28"/>
      <c r="F18" s="29"/>
      <c r="G18" s="30"/>
      <c r="H18" s="30"/>
      <c r="I18" s="28"/>
      <c r="J18" s="100"/>
      <c r="K18" s="100"/>
      <c r="L18" s="30"/>
      <c r="M18" s="31"/>
      <c r="N18" s="31"/>
      <c r="O18" s="84"/>
      <c r="P18" s="1"/>
      <c r="Q18" s="40" t="str">
        <f t="shared" si="0"/>
        <v/>
      </c>
      <c r="R18" s="31"/>
      <c r="S18" s="99"/>
      <c r="T18" s="99"/>
      <c r="U18" s="7" t="str">
        <f>IFERROR(IF($R$87&gt;499000,N18*Q18,M18*Q18),"")</f>
        <v/>
      </c>
      <c r="V18" s="82" t="str">
        <f>IFERROR("Вам потребуется "&amp;ROUND(VLOOKUP(F18,'списки и справочники'!A:C,3,FALSE)*Q18/1000,2)&amp;" кг пленки ЗАКАЗАТЬ","")</f>
        <v/>
      </c>
      <c r="W18" s="83"/>
      <c r="X18" s="68"/>
      <c r="Y18" s="7"/>
      <c r="Z18" s="114"/>
      <c r="AA18" s="7"/>
      <c r="AB18" s="114"/>
      <c r="AC18" s="86"/>
      <c r="AD18" s="115"/>
    </row>
    <row r="19" spans="1:30" x14ac:dyDescent="0.3">
      <c r="A19" s="19" t="s">
        <v>3</v>
      </c>
      <c r="B19" s="20" t="s">
        <v>68</v>
      </c>
      <c r="C19" s="21"/>
      <c r="D19" s="21"/>
      <c r="E19" s="21" t="s">
        <v>54</v>
      </c>
      <c r="F19" s="32">
        <v>150</v>
      </c>
      <c r="G19" s="23" t="s">
        <v>82</v>
      </c>
      <c r="H19" s="24">
        <v>35</v>
      </c>
      <c r="I19" s="25" t="s">
        <v>55</v>
      </c>
      <c r="J19" s="63">
        <v>816</v>
      </c>
      <c r="K19" s="119" t="s">
        <v>137</v>
      </c>
      <c r="L19" s="26">
        <v>13056</v>
      </c>
      <c r="M19" s="27">
        <v>3.4408000000000007</v>
      </c>
      <c r="N19" s="27">
        <v>2.9920000000000009</v>
      </c>
      <c r="O19" s="81"/>
      <c r="P19" s="64"/>
      <c r="Q19" s="39" t="str">
        <f t="shared" si="0"/>
        <v/>
      </c>
      <c r="R19" s="27">
        <f>IFERROR(IF($S$104&gt;499000,N19*Q19,M19*Q19),0)</f>
        <v>0</v>
      </c>
      <c r="S19" s="99">
        <f t="shared" ref="S19:S22" si="3">IFERROR(M19*Q19,0)</f>
        <v>0</v>
      </c>
      <c r="T19" s="99">
        <f t="shared" ref="T19:T22" si="4">IFERROR(N19*Q19,0)</f>
        <v>0</v>
      </c>
      <c r="V19" s="82" t="str">
        <f>IFERROR("Вам потребуется "&amp;ROUND(VLOOKUP(F19,'списки и справочники'!A:C,3,FALSE)*Q19/1000,2)&amp;" кг пленки ЗАКАЗАТЬ","")</f>
        <v/>
      </c>
      <c r="W19" s="83"/>
      <c r="X19" s="68">
        <f>IFERROR(ROUND(VLOOKUP(F19,'списки и справочники'!A:C,3,FALSE)*Q19/1000,2),0)</f>
        <v>0</v>
      </c>
      <c r="Z19" s="114"/>
      <c r="AB19" s="114"/>
      <c r="AD19" s="115"/>
    </row>
    <row r="20" spans="1:30" x14ac:dyDescent="0.3">
      <c r="A20" s="19" t="s">
        <v>5</v>
      </c>
      <c r="B20" s="20" t="s">
        <v>68</v>
      </c>
      <c r="C20" s="21"/>
      <c r="D20" s="21"/>
      <c r="E20" s="21" t="s">
        <v>54</v>
      </c>
      <c r="F20" s="32">
        <v>150</v>
      </c>
      <c r="G20" s="23" t="s">
        <v>82</v>
      </c>
      <c r="H20" s="24">
        <v>35</v>
      </c>
      <c r="I20" s="25" t="s">
        <v>56</v>
      </c>
      <c r="J20" s="63">
        <v>816</v>
      </c>
      <c r="K20" s="119" t="s">
        <v>137</v>
      </c>
      <c r="L20" s="26">
        <v>13056</v>
      </c>
      <c r="M20" s="27">
        <v>3.4408000000000007</v>
      </c>
      <c r="N20" s="27">
        <v>2.9920000000000009</v>
      </c>
      <c r="O20" s="81"/>
      <c r="P20" s="64"/>
      <c r="Q20" s="39" t="str">
        <f t="shared" si="0"/>
        <v/>
      </c>
      <c r="R20" s="27">
        <f>IFERROR(IF($S$104&gt;499000,N20*Q20,M20*Q20),0)</f>
        <v>0</v>
      </c>
      <c r="S20" s="99">
        <f t="shared" si="3"/>
        <v>0</v>
      </c>
      <c r="T20" s="99">
        <f t="shared" si="4"/>
        <v>0</v>
      </c>
      <c r="V20" s="82" t="str">
        <f>IFERROR("Вам потребуется "&amp;ROUND(VLOOKUP(F20,'списки и справочники'!A:C,3,FALSE)*Q20/1000,2)&amp;" кг пленки ЗАКАЗАТЬ","")</f>
        <v/>
      </c>
      <c r="W20" s="83"/>
      <c r="X20" s="68">
        <f>IFERROR(ROUND(VLOOKUP(F20,'списки и справочники'!A:C,3,FALSE)*Q20/1000,2),0)</f>
        <v>0</v>
      </c>
      <c r="Z20" s="114"/>
      <c r="AB20" s="114"/>
      <c r="AD20" s="115"/>
    </row>
    <row r="21" spans="1:30" x14ac:dyDescent="0.3">
      <c r="A21" s="19" t="s">
        <v>52</v>
      </c>
      <c r="B21" s="20" t="s">
        <v>68</v>
      </c>
      <c r="C21" s="21"/>
      <c r="D21" s="21"/>
      <c r="E21" s="21" t="s">
        <v>54</v>
      </c>
      <c r="F21" s="32">
        <v>150</v>
      </c>
      <c r="G21" s="23" t="s">
        <v>82</v>
      </c>
      <c r="H21" s="24">
        <v>55</v>
      </c>
      <c r="I21" s="25" t="s">
        <v>55</v>
      </c>
      <c r="J21" s="63">
        <v>660</v>
      </c>
      <c r="K21" s="119" t="s">
        <v>137</v>
      </c>
      <c r="L21" s="26">
        <v>10560</v>
      </c>
      <c r="M21" s="27">
        <v>4.0706550000000004</v>
      </c>
      <c r="N21" s="27">
        <v>3.5397000000000003</v>
      </c>
      <c r="O21" s="81"/>
      <c r="P21" s="64"/>
      <c r="Q21" s="39" t="str">
        <f t="shared" si="0"/>
        <v/>
      </c>
      <c r="R21" s="27">
        <f>IFERROR(IF($S$104&gt;499000,N21*Q21,M21*Q21),0)</f>
        <v>0</v>
      </c>
      <c r="S21" s="99">
        <f t="shared" si="3"/>
        <v>0</v>
      </c>
      <c r="T21" s="99">
        <f t="shared" si="4"/>
        <v>0</v>
      </c>
      <c r="V21" s="82" t="str">
        <f>IFERROR("Вам потребуется "&amp;ROUND(VLOOKUP(F21,'списки и справочники'!A:C,3,FALSE)*Q21/1000,2)&amp;" кг пленки ЗАКАЗАТЬ","")</f>
        <v/>
      </c>
      <c r="W21" s="83"/>
      <c r="X21" s="68">
        <f>IFERROR(ROUND(VLOOKUP(F21,'списки и справочники'!A:C,3,FALSE)*Q21/1000,2),0)</f>
        <v>0</v>
      </c>
      <c r="Z21" s="114"/>
      <c r="AB21" s="114"/>
      <c r="AD21" s="115"/>
    </row>
    <row r="22" spans="1:30" x14ac:dyDescent="0.3">
      <c r="A22" s="19" t="s">
        <v>44</v>
      </c>
      <c r="B22" s="20" t="s">
        <v>68</v>
      </c>
      <c r="C22" s="21"/>
      <c r="D22" s="21"/>
      <c r="E22" s="21" t="s">
        <v>54</v>
      </c>
      <c r="F22" s="32">
        <v>150</v>
      </c>
      <c r="G22" s="23" t="s">
        <v>82</v>
      </c>
      <c r="H22" s="24">
        <v>55</v>
      </c>
      <c r="I22" s="25" t="s">
        <v>56</v>
      </c>
      <c r="J22" s="63">
        <v>672</v>
      </c>
      <c r="K22" s="119" t="s">
        <v>137</v>
      </c>
      <c r="L22" s="26">
        <v>10752</v>
      </c>
      <c r="M22" s="27">
        <v>4.0706550000000004</v>
      </c>
      <c r="N22" s="27">
        <v>3.5397000000000003</v>
      </c>
      <c r="O22" s="81"/>
      <c r="P22" s="64"/>
      <c r="Q22" s="39" t="str">
        <f t="shared" si="0"/>
        <v/>
      </c>
      <c r="R22" s="27">
        <f>IFERROR(IF($S$104&gt;499000,N22*Q22,M22*Q22),0)</f>
        <v>0</v>
      </c>
      <c r="S22" s="99">
        <f t="shared" si="3"/>
        <v>0</v>
      </c>
      <c r="T22" s="99">
        <f t="shared" si="4"/>
        <v>0</v>
      </c>
      <c r="V22" s="82" t="str">
        <f>IFERROR("Вам потребуется "&amp;ROUND(VLOOKUP(F22,'списки и справочники'!A:C,3,FALSE)*Q22/1000,2)&amp;" кг пленки ЗАКАЗАТЬ","")</f>
        <v/>
      </c>
      <c r="W22" s="83"/>
      <c r="X22" s="68">
        <f>IFERROR(ROUND(VLOOKUP(F22,'списки и справочники'!A:C,3,FALSE)*Q22/1000,2),0)</f>
        <v>0</v>
      </c>
      <c r="Z22" s="114"/>
      <c r="AB22" s="114"/>
      <c r="AD22" s="115"/>
    </row>
    <row r="23" spans="1:30" s="73" customFormat="1" ht="4.5" customHeight="1" x14ac:dyDescent="0.3">
      <c r="A23" s="28" t="s">
        <v>77</v>
      </c>
      <c r="B23" s="28"/>
      <c r="C23" s="28"/>
      <c r="D23" s="28"/>
      <c r="E23" s="28"/>
      <c r="F23" s="29"/>
      <c r="G23" s="30"/>
      <c r="H23" s="30"/>
      <c r="I23" s="28"/>
      <c r="J23" s="100"/>
      <c r="K23" s="100"/>
      <c r="L23" s="30"/>
      <c r="M23" s="31"/>
      <c r="N23" s="31"/>
      <c r="O23" s="84"/>
      <c r="P23" s="1"/>
      <c r="Q23" s="40" t="str">
        <f t="shared" si="0"/>
        <v/>
      </c>
      <c r="R23" s="31"/>
      <c r="S23" s="99"/>
      <c r="T23" s="99"/>
      <c r="V23" s="82" t="str">
        <f>IFERROR("Вам потребуется "&amp;ROUND(VLOOKUP(F23,'списки и справочники'!A:C,3,FALSE)*Q23/1000,2)&amp;" кг пленки ЗАКАЗАТЬ","")</f>
        <v/>
      </c>
      <c r="W23" s="83"/>
      <c r="X23" s="68"/>
      <c r="Y23" s="7"/>
      <c r="Z23" s="114"/>
      <c r="AA23" s="7"/>
      <c r="AB23" s="114"/>
      <c r="AC23" s="86"/>
      <c r="AD23" s="115"/>
    </row>
    <row r="24" spans="1:30" x14ac:dyDescent="0.3">
      <c r="A24" s="33" t="s">
        <v>63</v>
      </c>
      <c r="B24" s="20" t="s">
        <v>66</v>
      </c>
      <c r="C24" s="21"/>
      <c r="D24" s="51"/>
      <c r="E24" s="21"/>
      <c r="F24" s="22">
        <v>187</v>
      </c>
      <c r="G24" s="23" t="s">
        <v>83</v>
      </c>
      <c r="H24" s="24">
        <v>13</v>
      </c>
      <c r="I24" s="25" t="s">
        <v>55</v>
      </c>
      <c r="J24" s="63">
        <v>720</v>
      </c>
      <c r="K24" s="119" t="s">
        <v>138</v>
      </c>
      <c r="L24" s="34">
        <f>720*16</f>
        <v>11520</v>
      </c>
      <c r="M24" s="27">
        <v>4.04</v>
      </c>
      <c r="N24" s="27">
        <v>3.88</v>
      </c>
      <c r="O24" s="81"/>
      <c r="P24" s="64"/>
      <c r="Q24" s="39" t="str">
        <f t="shared" si="0"/>
        <v/>
      </c>
      <c r="R24" s="27">
        <f>IFERROR(IF($S$104&gt;499000,N24*Q24,M24*Q24),0)</f>
        <v>0</v>
      </c>
      <c r="S24" s="99">
        <f>IFERROR(M24*Q24,0)</f>
        <v>0</v>
      </c>
      <c r="T24" s="99">
        <f>IFERROR(N24*Q24,0)</f>
        <v>0</v>
      </c>
      <c r="V24" s="82"/>
      <c r="W24" s="83"/>
      <c r="X24" s="68">
        <f>IFERROR(ROUND(VLOOKUP(F24,'списки и справочники'!A:C,3,FALSE)*Q24/1000,2),0)</f>
        <v>0</v>
      </c>
      <c r="Z24" s="114"/>
      <c r="AB24" s="114"/>
      <c r="AD24" s="115"/>
    </row>
    <row r="25" spans="1:30" x14ac:dyDescent="0.3">
      <c r="A25" s="19" t="s">
        <v>0</v>
      </c>
      <c r="B25" s="20" t="s">
        <v>67</v>
      </c>
      <c r="C25" s="21"/>
      <c r="D25" s="52" t="s">
        <v>74</v>
      </c>
      <c r="E25" s="21" t="s">
        <v>54</v>
      </c>
      <c r="F25" s="22">
        <v>187</v>
      </c>
      <c r="G25" s="23" t="s">
        <v>83</v>
      </c>
      <c r="H25" s="24">
        <v>25</v>
      </c>
      <c r="I25" s="25" t="s">
        <v>55</v>
      </c>
      <c r="J25" s="63">
        <v>540</v>
      </c>
      <c r="K25" s="119" t="s">
        <v>137</v>
      </c>
      <c r="L25" s="26">
        <v>8640</v>
      </c>
      <c r="M25" s="27">
        <v>2.9807999999999999</v>
      </c>
      <c r="N25" s="27">
        <v>2.5920000000000001</v>
      </c>
      <c r="O25" s="81"/>
      <c r="P25" s="64"/>
      <c r="Q25" s="39" t="str">
        <f t="shared" si="0"/>
        <v/>
      </c>
      <c r="R25" s="27">
        <f>IFERROR(IF($S$104&gt;499000,N25*Q25,M25*Q25),0)</f>
        <v>0</v>
      </c>
      <c r="S25" s="99">
        <f t="shared" ref="S25:S43" si="5">IFERROR(M25*Q25,0)</f>
        <v>0</v>
      </c>
      <c r="T25" s="99">
        <f t="shared" ref="T25:T43" si="6">IFERROR(N25*Q25,0)</f>
        <v>0</v>
      </c>
      <c r="V25" s="82" t="str">
        <f>IFERROR("Вам потребуется "&amp;ROUND(VLOOKUP(F25,'списки и справочники'!A:C,3,FALSE)*Q25/1000,2)&amp;" кг пленки ЗАКАЗАТЬ","")</f>
        <v/>
      </c>
      <c r="W25" s="83"/>
      <c r="X25" s="68">
        <f>IFERROR(ROUND(VLOOKUP(F25,'списки и справочники'!A:C,3,FALSE)*Q25/1000,2),0)</f>
        <v>0</v>
      </c>
      <c r="Z25" s="114"/>
      <c r="AB25" s="114"/>
      <c r="AD25" s="115"/>
    </row>
    <row r="26" spans="1:30" x14ac:dyDescent="0.3">
      <c r="A26" s="19" t="s">
        <v>135</v>
      </c>
      <c r="B26" s="20" t="s">
        <v>67</v>
      </c>
      <c r="C26" s="21"/>
      <c r="D26" s="52" t="s">
        <v>74</v>
      </c>
      <c r="E26" s="21" t="s">
        <v>54</v>
      </c>
      <c r="F26" s="22">
        <v>187</v>
      </c>
      <c r="G26" s="23" t="s">
        <v>83</v>
      </c>
      <c r="H26" s="24">
        <v>25</v>
      </c>
      <c r="I26" s="25" t="s">
        <v>56</v>
      </c>
      <c r="J26" s="63">
        <v>540</v>
      </c>
      <c r="K26" s="119" t="s">
        <v>137</v>
      </c>
      <c r="L26" s="26">
        <v>8640</v>
      </c>
      <c r="M26" s="27">
        <v>2.9807999999999999</v>
      </c>
      <c r="N26" s="27">
        <v>2.5920000000000001</v>
      </c>
      <c r="O26" s="81"/>
      <c r="P26" s="64"/>
      <c r="Q26" s="39" t="str">
        <f t="shared" si="0"/>
        <v/>
      </c>
      <c r="R26" s="27">
        <f>IFERROR(IF($S$104&gt;499000,N26*Q26,M26*Q26),0)</f>
        <v>0</v>
      </c>
      <c r="S26" s="99">
        <f t="shared" si="5"/>
        <v>0</v>
      </c>
      <c r="T26" s="99">
        <f t="shared" si="6"/>
        <v>0</v>
      </c>
      <c r="V26" s="82" t="str">
        <f>IFERROR("Вам потребуется "&amp;ROUND(VLOOKUP(F26,'списки и справочники'!A:C,3,FALSE)*Q26/1000,2)&amp;" кг пленки ЗАКАЗАТЬ","")</f>
        <v/>
      </c>
      <c r="W26" s="83"/>
      <c r="X26" s="68">
        <f>IFERROR(ROUND(VLOOKUP(F26,'списки и справочники'!A:C,3,FALSE)*Q26/1000,2),0)</f>
        <v>0</v>
      </c>
      <c r="Z26" s="114"/>
      <c r="AB26" s="114"/>
      <c r="AD26" s="115"/>
    </row>
    <row r="27" spans="1:30" x14ac:dyDescent="0.3">
      <c r="A27" s="19" t="s">
        <v>11</v>
      </c>
      <c r="B27" s="20" t="s">
        <v>67</v>
      </c>
      <c r="C27" s="21"/>
      <c r="D27" s="52" t="s">
        <v>100</v>
      </c>
      <c r="E27" s="21" t="s">
        <v>54</v>
      </c>
      <c r="F27" s="22">
        <v>187</v>
      </c>
      <c r="G27" s="23" t="s">
        <v>83</v>
      </c>
      <c r="H27" s="24">
        <v>36</v>
      </c>
      <c r="I27" s="25" t="s">
        <v>55</v>
      </c>
      <c r="J27" s="63">
        <v>480</v>
      </c>
      <c r="K27" s="119" t="s">
        <v>137</v>
      </c>
      <c r="L27" s="26">
        <v>7680</v>
      </c>
      <c r="M27" s="27">
        <v>3.4408000000000007</v>
      </c>
      <c r="N27" s="27">
        <v>2.9920000000000009</v>
      </c>
      <c r="O27" s="81"/>
      <c r="P27" s="64"/>
      <c r="Q27" s="39" t="str">
        <f t="shared" si="0"/>
        <v/>
      </c>
      <c r="R27" s="27">
        <f>IFERROR(IF($S$104&gt;499000,N27*Q27,M27*Q27),0)</f>
        <v>0</v>
      </c>
      <c r="S27" s="99">
        <f t="shared" si="5"/>
        <v>0</v>
      </c>
      <c r="T27" s="99">
        <f t="shared" si="6"/>
        <v>0</v>
      </c>
      <c r="V27" s="82" t="str">
        <f>IFERROR("Вам потребуется "&amp;ROUND(VLOOKUP(F27,'списки и справочники'!A:C,3,FALSE)*Q27/1000,2)&amp;" кг пленки ЗАКАЗАТЬ","")</f>
        <v/>
      </c>
      <c r="W27" s="83"/>
      <c r="X27" s="68">
        <f>IFERROR(ROUND(VLOOKUP(F27,'списки и справочники'!A:C,3,FALSE)*Q27/1000,2),0)</f>
        <v>0</v>
      </c>
      <c r="Z27" s="114"/>
      <c r="AB27" s="114"/>
      <c r="AD27" s="115"/>
    </row>
    <row r="28" spans="1:30" x14ac:dyDescent="0.3">
      <c r="A28" s="19" t="s">
        <v>134</v>
      </c>
      <c r="B28" s="20" t="s">
        <v>67</v>
      </c>
      <c r="C28" s="21"/>
      <c r="D28" s="52" t="s">
        <v>99</v>
      </c>
      <c r="E28" s="21" t="s">
        <v>54</v>
      </c>
      <c r="F28" s="22">
        <v>187</v>
      </c>
      <c r="G28" s="23" t="s">
        <v>83</v>
      </c>
      <c r="H28" s="24">
        <v>36</v>
      </c>
      <c r="I28" s="25" t="s">
        <v>55</v>
      </c>
      <c r="J28" s="63">
        <v>480</v>
      </c>
      <c r="K28" s="119" t="s">
        <v>137</v>
      </c>
      <c r="L28" s="26">
        <v>7680</v>
      </c>
      <c r="M28" s="27">
        <v>3.2602500000000001</v>
      </c>
      <c r="N28" s="27">
        <v>2.8350000000000004</v>
      </c>
      <c r="O28" s="81"/>
      <c r="P28" s="64"/>
      <c r="Q28" s="39" t="str">
        <f t="shared" si="0"/>
        <v/>
      </c>
      <c r="R28" s="27">
        <f>IFERROR(IF($S$104&gt;499000,N28*Q28,M28*Q28),0)</f>
        <v>0</v>
      </c>
      <c r="S28" s="99">
        <f t="shared" si="5"/>
        <v>0</v>
      </c>
      <c r="T28" s="99">
        <f t="shared" si="6"/>
        <v>0</v>
      </c>
      <c r="V28" s="82" t="str">
        <f>IFERROR("Вам потребуется "&amp;ROUND(VLOOKUP(F28,'списки и справочники'!A:C,3,FALSE)*Q28/1000,2)&amp;" кг пленки ЗАКАЗАТЬ","")</f>
        <v/>
      </c>
      <c r="W28" s="83"/>
      <c r="X28" s="68">
        <f>IFERROR(ROUND(VLOOKUP(F28,'списки и справочники'!A:C,3,FALSE)*Q28/1000,2),0)</f>
        <v>0</v>
      </c>
      <c r="Z28" s="114"/>
      <c r="AB28" s="114"/>
      <c r="AD28" s="115"/>
    </row>
    <row r="29" spans="1:30" x14ac:dyDescent="0.3">
      <c r="A29" s="19" t="s">
        <v>98</v>
      </c>
      <c r="B29" s="20" t="s">
        <v>67</v>
      </c>
      <c r="C29" s="21"/>
      <c r="D29" s="52" t="s">
        <v>101</v>
      </c>
      <c r="E29" s="21" t="s">
        <v>54</v>
      </c>
      <c r="F29" s="22">
        <v>187</v>
      </c>
      <c r="G29" s="23" t="s">
        <v>83</v>
      </c>
      <c r="H29" s="24">
        <v>36</v>
      </c>
      <c r="I29" s="25" t="s">
        <v>55</v>
      </c>
      <c r="J29" s="63">
        <v>480</v>
      </c>
      <c r="K29" s="119" t="s">
        <v>137</v>
      </c>
      <c r="L29" s="26">
        <v>7680</v>
      </c>
      <c r="M29" s="27">
        <v>4.3699999999999992</v>
      </c>
      <c r="N29" s="27">
        <v>3.8</v>
      </c>
      <c r="O29" s="81"/>
      <c r="P29" s="64"/>
      <c r="Q29" s="39" t="str">
        <f t="shared" si="0"/>
        <v/>
      </c>
      <c r="R29" s="27">
        <f>IFERROR(IF($S$104&gt;499000,N29*Q29,M29*Q29),0)</f>
        <v>0</v>
      </c>
      <c r="S29" s="99">
        <f t="shared" si="5"/>
        <v>0</v>
      </c>
      <c r="T29" s="99">
        <f t="shared" si="6"/>
        <v>0</v>
      </c>
      <c r="V29" s="82" t="str">
        <f>IFERROR("Вам потребуется "&amp;ROUND(VLOOKUP(F29,'списки и справочники'!A:C,3,FALSE)*Q29/1000,2)&amp;" кг пленки ЗАКАЗАТЬ","")</f>
        <v/>
      </c>
      <c r="W29" s="83"/>
      <c r="X29" s="68">
        <f>IFERROR(ROUND(VLOOKUP(F29,'списки и справочники'!A:C,3,FALSE)*Q29/1000,2),0)</f>
        <v>0</v>
      </c>
      <c r="Z29" s="114"/>
      <c r="AB29" s="114"/>
      <c r="AD29" s="115"/>
    </row>
    <row r="30" spans="1:30" x14ac:dyDescent="0.3">
      <c r="A30" s="19" t="s">
        <v>9</v>
      </c>
      <c r="B30" s="20" t="s">
        <v>67</v>
      </c>
      <c r="C30" s="21"/>
      <c r="D30" s="52" t="s">
        <v>78</v>
      </c>
      <c r="E30" s="21" t="s">
        <v>54</v>
      </c>
      <c r="F30" s="22">
        <v>187</v>
      </c>
      <c r="G30" s="23" t="s">
        <v>83</v>
      </c>
      <c r="H30" s="24">
        <v>36</v>
      </c>
      <c r="I30" s="25" t="s">
        <v>56</v>
      </c>
      <c r="J30" s="63">
        <v>480</v>
      </c>
      <c r="K30" s="119" t="s">
        <v>137</v>
      </c>
      <c r="L30" s="26">
        <v>7680</v>
      </c>
      <c r="M30" s="27">
        <v>3.4408000000000007</v>
      </c>
      <c r="N30" s="27">
        <v>2.9920000000000009</v>
      </c>
      <c r="O30" s="81"/>
      <c r="P30" s="64"/>
      <c r="Q30" s="39" t="str">
        <f t="shared" si="0"/>
        <v/>
      </c>
      <c r="R30" s="27">
        <f>IFERROR(IF($S$104&gt;499000,N30*Q30,M30*Q30),0)</f>
        <v>0</v>
      </c>
      <c r="S30" s="99">
        <f t="shared" si="5"/>
        <v>0</v>
      </c>
      <c r="T30" s="99">
        <f t="shared" si="6"/>
        <v>0</v>
      </c>
      <c r="V30" s="82" t="str">
        <f>IFERROR("Вам потребуется "&amp;ROUND(VLOOKUP(F30,'списки и справочники'!A:C,3,FALSE)*Q30/1000,2)&amp;" кг пленки ЗАКАЗАТЬ","")</f>
        <v/>
      </c>
      <c r="W30" s="83"/>
      <c r="X30" s="68">
        <f>IFERROR(ROUND(VLOOKUP(F30,'списки и справочники'!A:C,3,FALSE)*Q30/1000,2),0)</f>
        <v>0</v>
      </c>
      <c r="Z30" s="114"/>
      <c r="AB30" s="114"/>
      <c r="AD30" s="115"/>
    </row>
    <row r="31" spans="1:30" x14ac:dyDescent="0.3">
      <c r="A31" s="19" t="s">
        <v>14</v>
      </c>
      <c r="B31" s="20" t="s">
        <v>67</v>
      </c>
      <c r="C31" s="21"/>
      <c r="D31" s="52" t="s">
        <v>74</v>
      </c>
      <c r="E31" s="21" t="s">
        <v>54</v>
      </c>
      <c r="F31" s="22">
        <v>187</v>
      </c>
      <c r="G31" s="23" t="s">
        <v>83</v>
      </c>
      <c r="H31" s="24">
        <v>36</v>
      </c>
      <c r="I31" s="25" t="s">
        <v>56</v>
      </c>
      <c r="J31" s="63">
        <v>480</v>
      </c>
      <c r="K31" s="119" t="s">
        <v>137</v>
      </c>
      <c r="L31" s="26">
        <v>7680</v>
      </c>
      <c r="M31" s="27">
        <v>3.2602500000000001</v>
      </c>
      <c r="N31" s="27">
        <v>2.8350000000000004</v>
      </c>
      <c r="O31" s="81"/>
      <c r="P31" s="64"/>
      <c r="Q31" s="39" t="str">
        <f t="shared" si="0"/>
        <v/>
      </c>
      <c r="R31" s="27">
        <f>IFERROR(IF($S$104&gt;499000,N31*Q31,M31*Q31),0)</f>
        <v>0</v>
      </c>
      <c r="S31" s="99">
        <f t="shared" si="5"/>
        <v>0</v>
      </c>
      <c r="T31" s="99">
        <f t="shared" si="6"/>
        <v>0</v>
      </c>
      <c r="V31" s="82" t="str">
        <f>IFERROR("Вам потребуется "&amp;ROUND(VLOOKUP(F31,'списки и справочники'!A:C,3,FALSE)*Q31/1000,2)&amp;" кг пленки ЗАКАЗАТЬ","")</f>
        <v/>
      </c>
      <c r="W31" s="83"/>
      <c r="X31" s="68">
        <f>IFERROR(ROUND(VLOOKUP(F31,'списки и справочники'!A:C,3,FALSE)*Q31/1000,2),0)</f>
        <v>0</v>
      </c>
      <c r="Z31" s="114"/>
      <c r="AB31" s="114"/>
      <c r="AD31" s="115"/>
    </row>
    <row r="32" spans="1:30" x14ac:dyDescent="0.3">
      <c r="A32" s="19" t="s">
        <v>6</v>
      </c>
      <c r="B32" s="20" t="s">
        <v>67</v>
      </c>
      <c r="C32" s="21" t="s">
        <v>70</v>
      </c>
      <c r="D32" s="51"/>
      <c r="E32" s="21" t="s">
        <v>54</v>
      </c>
      <c r="F32" s="22">
        <v>187</v>
      </c>
      <c r="G32" s="23" t="s">
        <v>83</v>
      </c>
      <c r="H32" s="24">
        <v>38</v>
      </c>
      <c r="I32" s="25" t="s">
        <v>55</v>
      </c>
      <c r="J32" s="63">
        <v>720</v>
      </c>
      <c r="K32" s="119" t="s">
        <v>137</v>
      </c>
      <c r="L32" s="26">
        <v>11520</v>
      </c>
      <c r="M32" s="27">
        <v>4.3694249999999997</v>
      </c>
      <c r="N32" s="27">
        <v>3.7994999999999997</v>
      </c>
      <c r="O32" s="81"/>
      <c r="P32" s="64"/>
      <c r="Q32" s="39" t="str">
        <f t="shared" si="0"/>
        <v/>
      </c>
      <c r="R32" s="27">
        <f>IFERROR(IF($S$104&gt;499000,N32*Q32,M32*Q32),0)</f>
        <v>0</v>
      </c>
      <c r="S32" s="99">
        <f t="shared" si="5"/>
        <v>0</v>
      </c>
      <c r="T32" s="99">
        <f t="shared" si="6"/>
        <v>0</v>
      </c>
      <c r="V32" s="82" t="str">
        <f>IFERROR("Вам потребуется "&amp;ROUND(VLOOKUP(F32,'списки и справочники'!A:C,3,FALSE)*Q32/1000,2)&amp;" кг пленки ЗАКАЗАТЬ","")</f>
        <v/>
      </c>
      <c r="W32" s="83"/>
      <c r="X32" s="68">
        <f>IFERROR(ROUND(VLOOKUP(F32,'списки и справочники'!A:C,3,FALSE)*Q32/1000,2),0)</f>
        <v>0</v>
      </c>
      <c r="Z32" s="114"/>
      <c r="AB32" s="114"/>
      <c r="AD32" s="115"/>
    </row>
    <row r="33" spans="1:30" x14ac:dyDescent="0.3">
      <c r="A33" s="19" t="s">
        <v>15</v>
      </c>
      <c r="B33" s="20" t="s">
        <v>67</v>
      </c>
      <c r="C33" s="21" t="s">
        <v>70</v>
      </c>
      <c r="D33" s="51"/>
      <c r="E33" s="21" t="s">
        <v>54</v>
      </c>
      <c r="F33" s="22">
        <v>187</v>
      </c>
      <c r="G33" s="23" t="s">
        <v>83</v>
      </c>
      <c r="H33" s="24">
        <v>38</v>
      </c>
      <c r="I33" s="25" t="s">
        <v>56</v>
      </c>
      <c r="J33" s="63">
        <v>720</v>
      </c>
      <c r="K33" s="119" t="s">
        <v>137</v>
      </c>
      <c r="L33" s="26">
        <v>11520</v>
      </c>
      <c r="M33" s="27">
        <v>4.3694249999999997</v>
      </c>
      <c r="N33" s="27">
        <v>3.7994999999999997</v>
      </c>
      <c r="O33" s="81"/>
      <c r="P33" s="64"/>
      <c r="Q33" s="39" t="str">
        <f t="shared" si="0"/>
        <v/>
      </c>
      <c r="R33" s="27">
        <f>IFERROR(IF($S$104&gt;499000,N33*Q33,M33*Q33),0)</f>
        <v>0</v>
      </c>
      <c r="S33" s="99">
        <f t="shared" si="5"/>
        <v>0</v>
      </c>
      <c r="T33" s="99">
        <f t="shared" si="6"/>
        <v>0</v>
      </c>
      <c r="V33" s="82" t="str">
        <f>IFERROR("Вам потребуется "&amp;ROUND(VLOOKUP(F33,'списки и справочники'!A:C,3,FALSE)*Q33/1000,2)&amp;" кг пленки ЗАКАЗАТЬ","")</f>
        <v/>
      </c>
      <c r="W33" s="83"/>
      <c r="X33" s="68">
        <f>IFERROR(ROUND(VLOOKUP(F33,'списки и справочники'!A:C,3,FALSE)*Q33/1000,2),0)</f>
        <v>0</v>
      </c>
      <c r="Z33" s="114"/>
      <c r="AB33" s="114"/>
      <c r="AD33" s="115"/>
    </row>
    <row r="34" spans="1:30" x14ac:dyDescent="0.3">
      <c r="A34" s="19" t="s">
        <v>16</v>
      </c>
      <c r="B34" s="20" t="s">
        <v>67</v>
      </c>
      <c r="C34" s="21" t="s">
        <v>71</v>
      </c>
      <c r="D34" s="51"/>
      <c r="E34" s="21" t="s">
        <v>54</v>
      </c>
      <c r="F34" s="22">
        <v>187</v>
      </c>
      <c r="G34" s="23" t="s">
        <v>83</v>
      </c>
      <c r="H34" s="24">
        <v>45</v>
      </c>
      <c r="I34" s="25" t="s">
        <v>55</v>
      </c>
      <c r="J34" s="63">
        <v>720</v>
      </c>
      <c r="K34" s="119" t="s">
        <v>137</v>
      </c>
      <c r="L34" s="26">
        <v>11520</v>
      </c>
      <c r="M34" s="27">
        <v>4.7523749999999998</v>
      </c>
      <c r="N34" s="27">
        <v>4.1325000000000003</v>
      </c>
      <c r="O34" s="81"/>
      <c r="P34" s="64"/>
      <c r="Q34" s="39" t="str">
        <f t="shared" si="0"/>
        <v/>
      </c>
      <c r="R34" s="27">
        <f>IFERROR(IF($S$104&gt;499000,N34*Q34,M34*Q34),0)</f>
        <v>0</v>
      </c>
      <c r="S34" s="99">
        <f t="shared" si="5"/>
        <v>0</v>
      </c>
      <c r="T34" s="99">
        <f t="shared" si="6"/>
        <v>0</v>
      </c>
      <c r="V34" s="82" t="str">
        <f>IFERROR("Вам потребуется "&amp;ROUND(VLOOKUP(F34,'списки и справочники'!A:C,3,FALSE)*Q34/1000,2)&amp;" кг пленки ЗАКАЗАТЬ","")</f>
        <v/>
      </c>
      <c r="W34" s="83"/>
      <c r="X34" s="68">
        <f>IFERROR(ROUND(VLOOKUP(F34,'списки и справочники'!A:C,3,FALSE)*Q34/1000,2),0)</f>
        <v>0</v>
      </c>
      <c r="Z34" s="114"/>
      <c r="AB34" s="114"/>
      <c r="AD34" s="115"/>
    </row>
    <row r="35" spans="1:30" x14ac:dyDescent="0.3">
      <c r="A35" s="19" t="s">
        <v>7</v>
      </c>
      <c r="B35" s="20" t="s">
        <v>67</v>
      </c>
      <c r="C35" s="21" t="s">
        <v>71</v>
      </c>
      <c r="D35" s="51"/>
      <c r="E35" s="21" t="s">
        <v>54</v>
      </c>
      <c r="F35" s="22">
        <v>187</v>
      </c>
      <c r="G35" s="23" t="s">
        <v>83</v>
      </c>
      <c r="H35" s="24">
        <v>45</v>
      </c>
      <c r="I35" s="25" t="s">
        <v>56</v>
      </c>
      <c r="J35" s="63">
        <v>720</v>
      </c>
      <c r="K35" s="119" t="s">
        <v>137</v>
      </c>
      <c r="L35" s="26">
        <v>11520</v>
      </c>
      <c r="M35" s="27">
        <v>4.7523749999999998</v>
      </c>
      <c r="N35" s="27">
        <v>4.1325000000000003</v>
      </c>
      <c r="O35" s="81"/>
      <c r="P35" s="64"/>
      <c r="Q35" s="39" t="str">
        <f t="shared" si="0"/>
        <v/>
      </c>
      <c r="R35" s="27">
        <f>IFERROR(IF($S$104&gt;499000,N35*Q35,M35*Q35),0)</f>
        <v>0</v>
      </c>
      <c r="S35" s="99">
        <f t="shared" si="5"/>
        <v>0</v>
      </c>
      <c r="T35" s="99">
        <f t="shared" si="6"/>
        <v>0</v>
      </c>
      <c r="V35" s="82" t="str">
        <f>IFERROR("Вам потребуется "&amp;ROUND(VLOOKUP(F35,'списки и справочники'!A:C,3,FALSE)*Q35/1000,2)&amp;" кг пленки ЗАКАЗАТЬ","")</f>
        <v/>
      </c>
      <c r="W35" s="83"/>
      <c r="X35" s="68">
        <f>IFERROR(ROUND(VLOOKUP(F35,'списки и справочники'!A:C,3,FALSE)*Q35/1000,2),0)</f>
        <v>0</v>
      </c>
      <c r="Z35" s="114"/>
      <c r="AB35" s="114"/>
      <c r="AD35" s="115"/>
    </row>
    <row r="36" spans="1:30" x14ac:dyDescent="0.3">
      <c r="A36" s="19" t="s">
        <v>8</v>
      </c>
      <c r="B36" s="20" t="s">
        <v>67</v>
      </c>
      <c r="C36" s="21"/>
      <c r="D36" s="52" t="s">
        <v>74</v>
      </c>
      <c r="E36" s="21" t="s">
        <v>54</v>
      </c>
      <c r="F36" s="22">
        <v>187</v>
      </c>
      <c r="G36" s="23" t="s">
        <v>83</v>
      </c>
      <c r="H36" s="24">
        <v>50</v>
      </c>
      <c r="I36" s="25" t="s">
        <v>55</v>
      </c>
      <c r="J36" s="63">
        <v>480</v>
      </c>
      <c r="K36" s="119" t="s">
        <v>137</v>
      </c>
      <c r="L36" s="26">
        <v>7680</v>
      </c>
      <c r="M36" s="27">
        <v>4.1289600000000002</v>
      </c>
      <c r="N36" s="27">
        <v>3.5904000000000003</v>
      </c>
      <c r="O36" s="81"/>
      <c r="P36" s="64"/>
      <c r="Q36" s="39" t="str">
        <f t="shared" si="0"/>
        <v/>
      </c>
      <c r="R36" s="27">
        <f>IFERROR(IF($S$104&gt;499000,N36*Q36,M36*Q36),0)</f>
        <v>0</v>
      </c>
      <c r="S36" s="99">
        <f t="shared" si="5"/>
        <v>0</v>
      </c>
      <c r="T36" s="99">
        <f t="shared" si="6"/>
        <v>0</v>
      </c>
      <c r="V36" s="82" t="str">
        <f>IFERROR("Вам потребуется "&amp;ROUND(VLOOKUP(F36,'списки и справочники'!A:C,3,FALSE)*Q36/1000,2)&amp;" кг пленки ЗАКАЗАТЬ","")</f>
        <v/>
      </c>
      <c r="W36" s="83"/>
      <c r="X36" s="68">
        <f>IFERROR(ROUND(VLOOKUP(F36,'списки и справочники'!A:C,3,FALSE)*Q36/1000,2),0)</f>
        <v>0</v>
      </c>
      <c r="Z36" s="114"/>
      <c r="AB36" s="114"/>
      <c r="AD36" s="115"/>
    </row>
    <row r="37" spans="1:30" x14ac:dyDescent="0.3">
      <c r="A37" s="19" t="s">
        <v>22</v>
      </c>
      <c r="B37" s="20" t="s">
        <v>67</v>
      </c>
      <c r="C37" s="21"/>
      <c r="D37" s="52" t="s">
        <v>78</v>
      </c>
      <c r="E37" s="21" t="s">
        <v>54</v>
      </c>
      <c r="F37" s="22">
        <v>187</v>
      </c>
      <c r="G37" s="23" t="s">
        <v>83</v>
      </c>
      <c r="H37" s="24">
        <v>50</v>
      </c>
      <c r="I37" s="25" t="s">
        <v>55</v>
      </c>
      <c r="J37" s="63">
        <v>480</v>
      </c>
      <c r="K37" s="119" t="s">
        <v>137</v>
      </c>
      <c r="L37" s="26">
        <v>7680</v>
      </c>
      <c r="M37" s="27">
        <v>4.6956799999999994</v>
      </c>
      <c r="N37" s="27">
        <v>4.0831999999999997</v>
      </c>
      <c r="O37" s="81"/>
      <c r="P37" s="64"/>
      <c r="Q37" s="39" t="str">
        <f t="shared" si="0"/>
        <v/>
      </c>
      <c r="R37" s="27">
        <f>IFERROR(IF($S$104&gt;499000,N37*Q37,M37*Q37),0)</f>
        <v>0</v>
      </c>
      <c r="S37" s="99">
        <f t="shared" si="5"/>
        <v>0</v>
      </c>
      <c r="T37" s="99">
        <f t="shared" si="6"/>
        <v>0</v>
      </c>
      <c r="V37" s="82" t="str">
        <f>IFERROR("Вам потребуется "&amp;ROUND(VLOOKUP(F37,'списки и справочники'!A:C,3,FALSE)*Q37/1000,2)&amp;" кг пленки ЗАКАЗАТЬ","")</f>
        <v/>
      </c>
      <c r="W37" s="83"/>
      <c r="X37" s="68">
        <f>IFERROR(ROUND(VLOOKUP(F37,'списки и справочники'!A:C,3,FALSE)*Q37/1000,2),0)</f>
        <v>0</v>
      </c>
      <c r="Z37" s="114"/>
      <c r="AB37" s="114"/>
      <c r="AD37" s="115"/>
    </row>
    <row r="38" spans="1:30" x14ac:dyDescent="0.3">
      <c r="A38" s="19" t="s">
        <v>13</v>
      </c>
      <c r="B38" s="20" t="s">
        <v>67</v>
      </c>
      <c r="C38" s="21"/>
      <c r="D38" s="52" t="s">
        <v>74</v>
      </c>
      <c r="E38" s="21" t="s">
        <v>54</v>
      </c>
      <c r="F38" s="22">
        <v>187</v>
      </c>
      <c r="G38" s="23" t="s">
        <v>83</v>
      </c>
      <c r="H38" s="24">
        <v>50</v>
      </c>
      <c r="I38" s="25" t="s">
        <v>56</v>
      </c>
      <c r="J38" s="63">
        <v>480</v>
      </c>
      <c r="K38" s="119" t="s">
        <v>137</v>
      </c>
      <c r="L38" s="26">
        <v>7680</v>
      </c>
      <c r="M38" s="27">
        <v>4.1289600000000002</v>
      </c>
      <c r="N38" s="27">
        <v>3.5904000000000003</v>
      </c>
      <c r="O38" s="81"/>
      <c r="P38" s="64"/>
      <c r="Q38" s="39" t="str">
        <f t="shared" si="0"/>
        <v/>
      </c>
      <c r="R38" s="27">
        <f>IFERROR(IF($S$104&gt;499000,N38*Q38,M38*Q38),0)</f>
        <v>0</v>
      </c>
      <c r="S38" s="99">
        <f t="shared" si="5"/>
        <v>0</v>
      </c>
      <c r="T38" s="99">
        <f t="shared" si="6"/>
        <v>0</v>
      </c>
      <c r="V38" s="82" t="str">
        <f>IFERROR("Вам потребуется "&amp;ROUND(VLOOKUP(F38,'списки и справочники'!A:C,3,FALSE)*Q38/1000,2)&amp;" кг пленки ЗАКАЗАТЬ","")</f>
        <v/>
      </c>
      <c r="W38" s="83"/>
      <c r="X38" s="68">
        <f>IFERROR(ROUND(VLOOKUP(F38,'списки и справочники'!A:C,3,FALSE)*Q38/1000,2),0)</f>
        <v>0</v>
      </c>
      <c r="Z38" s="114"/>
      <c r="AB38" s="114"/>
      <c r="AD38" s="115"/>
    </row>
    <row r="39" spans="1:30" x14ac:dyDescent="0.3">
      <c r="A39" s="19" t="s">
        <v>18</v>
      </c>
      <c r="B39" s="20" t="s">
        <v>67</v>
      </c>
      <c r="C39" s="21"/>
      <c r="D39" s="52" t="s">
        <v>78</v>
      </c>
      <c r="E39" s="21" t="s">
        <v>54</v>
      </c>
      <c r="F39" s="22">
        <v>187</v>
      </c>
      <c r="G39" s="23" t="s">
        <v>83</v>
      </c>
      <c r="H39" s="24">
        <v>50</v>
      </c>
      <c r="I39" s="25" t="s">
        <v>56</v>
      </c>
      <c r="J39" s="63">
        <v>480</v>
      </c>
      <c r="K39" s="119" t="s">
        <v>137</v>
      </c>
      <c r="L39" s="26">
        <v>7680</v>
      </c>
      <c r="M39" s="27">
        <v>4.6956799999999994</v>
      </c>
      <c r="N39" s="27">
        <v>4.0831999999999997</v>
      </c>
      <c r="O39" s="81"/>
      <c r="P39" s="64"/>
      <c r="Q39" s="39" t="str">
        <f t="shared" si="0"/>
        <v/>
      </c>
      <c r="R39" s="27">
        <f>IFERROR(IF($S$104&gt;499000,N39*Q39,M39*Q39),0)</f>
        <v>0</v>
      </c>
      <c r="S39" s="99">
        <f t="shared" si="5"/>
        <v>0</v>
      </c>
      <c r="T39" s="99">
        <f t="shared" si="6"/>
        <v>0</v>
      </c>
      <c r="V39" s="82" t="str">
        <f>IFERROR("Вам потребуется "&amp;ROUND(VLOOKUP(F39,'списки и справочники'!A:C,3,FALSE)*Q39/1000,2)&amp;" кг пленки ЗАКАЗАТЬ","")</f>
        <v/>
      </c>
      <c r="W39" s="83"/>
      <c r="X39" s="68">
        <f>IFERROR(ROUND(VLOOKUP(F39,'списки и справочники'!A:C,3,FALSE)*Q39/1000,2),0)</f>
        <v>0</v>
      </c>
      <c r="Z39" s="114"/>
      <c r="AB39" s="114"/>
      <c r="AD39" s="115"/>
    </row>
    <row r="40" spans="1:30" x14ac:dyDescent="0.3">
      <c r="A40" s="19" t="s">
        <v>1</v>
      </c>
      <c r="B40" s="20" t="s">
        <v>67</v>
      </c>
      <c r="C40" s="21"/>
      <c r="D40" s="52" t="s">
        <v>74</v>
      </c>
      <c r="E40" s="21" t="s">
        <v>54</v>
      </c>
      <c r="F40" s="22">
        <v>187</v>
      </c>
      <c r="G40" s="23" t="s">
        <v>83</v>
      </c>
      <c r="H40" s="24">
        <v>63</v>
      </c>
      <c r="I40" s="25" t="s">
        <v>55</v>
      </c>
      <c r="J40" s="63">
        <v>480</v>
      </c>
      <c r="K40" s="119" t="s">
        <v>137</v>
      </c>
      <c r="L40" s="26">
        <v>7680</v>
      </c>
      <c r="M40" s="27">
        <v>5.1318749999999991</v>
      </c>
      <c r="N40" s="27">
        <v>4.4624999999999995</v>
      </c>
      <c r="O40" s="81"/>
      <c r="P40" s="64"/>
      <c r="Q40" s="39" t="str">
        <f t="shared" si="0"/>
        <v/>
      </c>
      <c r="R40" s="27">
        <f>IFERROR(IF($S$104&gt;499000,N40*Q40,M40*Q40),0)</f>
        <v>0</v>
      </c>
      <c r="S40" s="99">
        <f t="shared" si="5"/>
        <v>0</v>
      </c>
      <c r="T40" s="99">
        <f t="shared" si="6"/>
        <v>0</v>
      </c>
      <c r="V40" s="82" t="str">
        <f>IFERROR("Вам потребуется "&amp;ROUND(VLOOKUP(F40,'списки и справочники'!A:C,3,FALSE)*Q40/1000,2)&amp;" кг пленки ЗАКАЗАТЬ","")</f>
        <v/>
      </c>
      <c r="W40" s="83"/>
      <c r="X40" s="68">
        <f>IFERROR(ROUND(VLOOKUP(F40,'списки и справочники'!A:C,3,FALSE)*Q40/1000,2),0)</f>
        <v>0</v>
      </c>
      <c r="Z40" s="114"/>
      <c r="AB40" s="114"/>
      <c r="AD40" s="115"/>
    </row>
    <row r="41" spans="1:30" x14ac:dyDescent="0.3">
      <c r="A41" s="19" t="s">
        <v>19</v>
      </c>
      <c r="B41" s="20" t="s">
        <v>67</v>
      </c>
      <c r="C41" s="21"/>
      <c r="D41" s="52" t="s">
        <v>74</v>
      </c>
      <c r="E41" s="21" t="s">
        <v>54</v>
      </c>
      <c r="F41" s="22">
        <v>187</v>
      </c>
      <c r="G41" s="23" t="s">
        <v>83</v>
      </c>
      <c r="H41" s="24">
        <v>63</v>
      </c>
      <c r="I41" s="25" t="s">
        <v>56</v>
      </c>
      <c r="J41" s="63">
        <v>480</v>
      </c>
      <c r="K41" s="119" t="s">
        <v>137</v>
      </c>
      <c r="L41" s="26">
        <v>7680</v>
      </c>
      <c r="M41" s="27">
        <v>5.1318749999999991</v>
      </c>
      <c r="N41" s="27">
        <v>4.4624999999999995</v>
      </c>
      <c r="O41" s="81"/>
      <c r="P41" s="64"/>
      <c r="Q41" s="39" t="str">
        <f t="shared" si="0"/>
        <v/>
      </c>
      <c r="R41" s="27">
        <f>IFERROR(IF($S$104&gt;499000,N41*Q41,M41*Q41),0)</f>
        <v>0</v>
      </c>
      <c r="S41" s="99">
        <f t="shared" si="5"/>
        <v>0</v>
      </c>
      <c r="T41" s="99">
        <f t="shared" si="6"/>
        <v>0</v>
      </c>
      <c r="V41" s="82" t="str">
        <f>IFERROR("Вам потребуется "&amp;ROUND(VLOOKUP(F41,'списки и справочники'!A:C,3,FALSE)*Q41/1000,2)&amp;" кг пленки ЗАКАЗАТЬ","")</f>
        <v/>
      </c>
      <c r="W41" s="83"/>
      <c r="X41" s="68">
        <f>IFERROR(ROUND(VLOOKUP(F41,'списки и справочники'!A:C,3,FALSE)*Q41/1000,2),0)</f>
        <v>0</v>
      </c>
      <c r="Z41" s="114"/>
      <c r="AB41" s="114"/>
      <c r="AD41" s="115"/>
    </row>
    <row r="42" spans="1:30" x14ac:dyDescent="0.3">
      <c r="A42" s="19" t="s">
        <v>2</v>
      </c>
      <c r="B42" s="20" t="s">
        <v>67</v>
      </c>
      <c r="C42" s="21"/>
      <c r="D42" s="52" t="s">
        <v>74</v>
      </c>
      <c r="E42" s="21" t="s">
        <v>54</v>
      </c>
      <c r="F42" s="22">
        <v>187</v>
      </c>
      <c r="G42" s="23" t="s">
        <v>83</v>
      </c>
      <c r="H42" s="24">
        <v>83</v>
      </c>
      <c r="I42" s="25" t="s">
        <v>55</v>
      </c>
      <c r="J42" s="63">
        <v>420</v>
      </c>
      <c r="K42" s="119" t="s">
        <v>137</v>
      </c>
      <c r="L42" s="26">
        <v>6720</v>
      </c>
      <c r="M42" s="27">
        <v>6.5394750000000004</v>
      </c>
      <c r="N42" s="27">
        <v>5.6865000000000006</v>
      </c>
      <c r="O42" s="81"/>
      <c r="P42" s="64"/>
      <c r="Q42" s="39" t="str">
        <f t="shared" si="0"/>
        <v/>
      </c>
      <c r="R42" s="27">
        <f>IFERROR(IF($S$104&gt;499000,N42*Q42,M42*Q42),0)</f>
        <v>0</v>
      </c>
      <c r="S42" s="99">
        <f t="shared" si="5"/>
        <v>0</v>
      </c>
      <c r="T42" s="99">
        <f t="shared" si="6"/>
        <v>0</v>
      </c>
      <c r="V42" s="82" t="str">
        <f>IFERROR("Вам потребуется "&amp;ROUND(VLOOKUP(F42,'списки и справочники'!A:C,3,FALSE)*Q42/1000,2)&amp;" кг пленки ЗАКАЗАТЬ","")</f>
        <v/>
      </c>
      <c r="W42" s="83"/>
      <c r="X42" s="68">
        <f>IFERROR(ROUND(VLOOKUP(F42,'списки и справочники'!A:C,3,FALSE)*Q42/1000,2),0)</f>
        <v>0</v>
      </c>
      <c r="Z42" s="114"/>
      <c r="AB42" s="114"/>
      <c r="AD42" s="115"/>
    </row>
    <row r="43" spans="1:30" ht="13.5" customHeight="1" x14ac:dyDescent="0.3">
      <c r="A43" s="19" t="s">
        <v>4</v>
      </c>
      <c r="B43" s="20" t="s">
        <v>67</v>
      </c>
      <c r="C43" s="21"/>
      <c r="D43" s="52" t="s">
        <v>74</v>
      </c>
      <c r="E43" s="21" t="s">
        <v>54</v>
      </c>
      <c r="F43" s="22">
        <v>187</v>
      </c>
      <c r="G43" s="23" t="s">
        <v>83</v>
      </c>
      <c r="H43" s="24">
        <v>83</v>
      </c>
      <c r="I43" s="25" t="s">
        <v>56</v>
      </c>
      <c r="J43" s="63">
        <v>420</v>
      </c>
      <c r="K43" s="119" t="s">
        <v>137</v>
      </c>
      <c r="L43" s="26">
        <v>6720</v>
      </c>
      <c r="M43" s="27">
        <v>6.5394750000000004</v>
      </c>
      <c r="N43" s="27">
        <v>5.6865000000000006</v>
      </c>
      <c r="O43" s="81"/>
      <c r="P43" s="64"/>
      <c r="Q43" s="39" t="str">
        <f t="shared" si="0"/>
        <v/>
      </c>
      <c r="R43" s="27">
        <f>IFERROR(IF($S$104&gt;499000,N43*Q43,M43*Q43),0)</f>
        <v>0</v>
      </c>
      <c r="S43" s="99">
        <f t="shared" si="5"/>
        <v>0</v>
      </c>
      <c r="T43" s="99">
        <f t="shared" si="6"/>
        <v>0</v>
      </c>
      <c r="V43" s="82" t="str">
        <f>IFERROR("Вам потребуется "&amp;ROUND(VLOOKUP(F43,'списки и справочники'!A:C,3,FALSE)*Q43/1000,2)&amp;" кг пленки ЗАКАЗАТЬ","")</f>
        <v/>
      </c>
      <c r="W43" s="83"/>
      <c r="X43" s="68">
        <f>IFERROR(ROUND(VLOOKUP(F43,'списки и справочники'!A:C,3,FALSE)*Q43/1000,2),0)</f>
        <v>0</v>
      </c>
      <c r="Z43" s="114"/>
      <c r="AB43" s="114"/>
      <c r="AD43" s="115"/>
    </row>
    <row r="44" spans="1:30" s="73" customFormat="1" ht="3.75" customHeight="1" x14ac:dyDescent="0.3">
      <c r="A44" s="28" t="s">
        <v>77</v>
      </c>
      <c r="B44" s="28"/>
      <c r="C44" s="28"/>
      <c r="D44" s="28"/>
      <c r="E44" s="28"/>
      <c r="F44" s="29"/>
      <c r="G44" s="30"/>
      <c r="H44" s="30"/>
      <c r="I44" s="28"/>
      <c r="J44" s="100"/>
      <c r="K44" s="100"/>
      <c r="L44" s="30"/>
      <c r="M44" s="31"/>
      <c r="N44" s="31"/>
      <c r="O44" s="84"/>
      <c r="P44" s="1"/>
      <c r="Q44" s="40" t="str">
        <f t="shared" si="0"/>
        <v/>
      </c>
      <c r="R44" s="31"/>
      <c r="S44" s="99"/>
      <c r="T44" s="99"/>
      <c r="V44" s="82" t="str">
        <f>IFERROR("Вам потребуется "&amp;ROUND(VLOOKUP(F44,'списки и справочники'!A:C,3,FALSE)*Q44/1000,2)&amp;" кг пленки ЗАКАЗАТЬ","")</f>
        <v/>
      </c>
      <c r="W44" s="83"/>
      <c r="X44" s="68"/>
      <c r="Y44" s="7"/>
      <c r="Z44" s="114"/>
      <c r="AA44" s="7"/>
      <c r="AB44" s="114"/>
      <c r="AC44" s="86"/>
      <c r="AD44" s="115"/>
    </row>
    <row r="45" spans="1:30" x14ac:dyDescent="0.3">
      <c r="A45" s="19" t="s">
        <v>25</v>
      </c>
      <c r="B45" s="20" t="s">
        <v>67</v>
      </c>
      <c r="C45" s="21"/>
      <c r="D45" s="52" t="s">
        <v>74</v>
      </c>
      <c r="E45" s="21" t="s">
        <v>54</v>
      </c>
      <c r="F45" s="22">
        <v>210</v>
      </c>
      <c r="G45" s="23" t="s">
        <v>84</v>
      </c>
      <c r="H45" s="24">
        <v>35</v>
      </c>
      <c r="I45" s="25" t="s">
        <v>55</v>
      </c>
      <c r="J45" s="63">
        <v>400</v>
      </c>
      <c r="K45" s="119" t="s">
        <v>137</v>
      </c>
      <c r="L45" s="26">
        <v>6400</v>
      </c>
      <c r="M45" s="27">
        <v>4.3166399999999996</v>
      </c>
      <c r="N45" s="27">
        <v>3.7536</v>
      </c>
      <c r="O45" s="81"/>
      <c r="P45" s="64"/>
      <c r="Q45" s="39" t="str">
        <f t="shared" si="0"/>
        <v/>
      </c>
      <c r="R45" s="27">
        <f>IFERROR(IF($S$104&gt;499000,N45*Q45,M45*Q45),0)</f>
        <v>0</v>
      </c>
      <c r="S45" s="99">
        <f t="shared" ref="S45:S58" si="7">IFERROR(M45*Q45,0)</f>
        <v>0</v>
      </c>
      <c r="T45" s="99">
        <f t="shared" ref="T45:T58" si="8">IFERROR(N45*Q45,0)</f>
        <v>0</v>
      </c>
      <c r="V45" s="82" t="str">
        <f>IFERROR("Вам потребуется "&amp;ROUND(VLOOKUP(F45,'списки и справочники'!A:C,3,FALSE)*Q45/1000,2)&amp;" кг пленки ЗАКАЗАТЬ","")</f>
        <v/>
      </c>
      <c r="W45" s="83"/>
      <c r="X45" s="68">
        <f>IFERROR(ROUND(VLOOKUP(F45,'списки и справочники'!A:C,3,FALSE)*Q45/1000,2),0)</f>
        <v>0</v>
      </c>
      <c r="Z45" s="114"/>
      <c r="AB45" s="114"/>
      <c r="AD45" s="115"/>
    </row>
    <row r="46" spans="1:30" x14ac:dyDescent="0.3">
      <c r="A46" s="19" t="s">
        <v>46</v>
      </c>
      <c r="B46" s="20" t="s">
        <v>67</v>
      </c>
      <c r="C46" s="21"/>
      <c r="D46" s="52" t="s">
        <v>74</v>
      </c>
      <c r="E46" s="21" t="s">
        <v>54</v>
      </c>
      <c r="F46" s="22">
        <v>210</v>
      </c>
      <c r="G46" s="23" t="s">
        <v>84</v>
      </c>
      <c r="H46" s="24">
        <v>35</v>
      </c>
      <c r="I46" s="25" t="s">
        <v>56</v>
      </c>
      <c r="J46" s="63">
        <v>400</v>
      </c>
      <c r="K46" s="119" t="s">
        <v>137</v>
      </c>
      <c r="L46" s="26">
        <v>6400</v>
      </c>
      <c r="M46" s="27">
        <v>4.3166399999999996</v>
      </c>
      <c r="N46" s="27">
        <v>3.7536</v>
      </c>
      <c r="O46" s="81"/>
      <c r="P46" s="64"/>
      <c r="Q46" s="39" t="str">
        <f t="shared" si="0"/>
        <v/>
      </c>
      <c r="R46" s="27">
        <f>IFERROR(IF($S$104&gt;499000,N46*Q46,M46*Q46),0)</f>
        <v>0</v>
      </c>
      <c r="S46" s="99">
        <f t="shared" si="7"/>
        <v>0</v>
      </c>
      <c r="T46" s="99">
        <f t="shared" si="8"/>
        <v>0</v>
      </c>
      <c r="V46" s="82" t="str">
        <f>IFERROR("Вам потребуется "&amp;ROUND(VLOOKUP(F46,'списки и справочники'!A:C,3,FALSE)*Q46/1000,2)&amp;" кг пленки ЗАКАЗАТЬ","")</f>
        <v/>
      </c>
      <c r="W46" s="83"/>
      <c r="X46" s="68">
        <f>IFERROR(ROUND(VLOOKUP(F46,'списки и справочники'!A:C,3,FALSE)*Q46/1000,2),0)</f>
        <v>0</v>
      </c>
      <c r="Z46" s="114"/>
      <c r="AB46" s="114"/>
      <c r="AD46" s="115"/>
    </row>
    <row r="47" spans="1:30" x14ac:dyDescent="0.3">
      <c r="A47" s="19" t="s">
        <v>28</v>
      </c>
      <c r="B47" s="20" t="s">
        <v>67</v>
      </c>
      <c r="C47" s="21"/>
      <c r="D47" s="52" t="s">
        <v>74</v>
      </c>
      <c r="E47" s="21" t="s">
        <v>54</v>
      </c>
      <c r="F47" s="22">
        <v>210</v>
      </c>
      <c r="G47" s="23" t="s">
        <v>84</v>
      </c>
      <c r="H47" s="24">
        <v>40</v>
      </c>
      <c r="I47" s="25" t="s">
        <v>55</v>
      </c>
      <c r="J47" s="63">
        <v>400</v>
      </c>
      <c r="K47" s="119" t="s">
        <v>137</v>
      </c>
      <c r="L47" s="26">
        <v>6400</v>
      </c>
      <c r="M47" s="27">
        <v>4.4222099999999998</v>
      </c>
      <c r="N47" s="27">
        <v>3.8453999999999997</v>
      </c>
      <c r="O47" s="81"/>
      <c r="P47" s="64"/>
      <c r="Q47" s="39" t="str">
        <f t="shared" si="0"/>
        <v/>
      </c>
      <c r="R47" s="27">
        <f>IFERROR(IF($S$104&gt;499000,N47*Q47,M47*Q47),0)</f>
        <v>0</v>
      </c>
      <c r="S47" s="99">
        <f t="shared" si="7"/>
        <v>0</v>
      </c>
      <c r="T47" s="99">
        <f t="shared" si="8"/>
        <v>0</v>
      </c>
      <c r="V47" s="82" t="str">
        <f>IFERROR("Вам потребуется "&amp;ROUND(VLOOKUP(F47,'списки и справочники'!A:C,3,FALSE)*Q47/1000,2)&amp;" кг пленки ЗАКАЗАТЬ","")</f>
        <v/>
      </c>
      <c r="W47" s="83"/>
      <c r="X47" s="68">
        <f>IFERROR(ROUND(VLOOKUP(F47,'списки и справочники'!A:C,3,FALSE)*Q47/1000,2),0)</f>
        <v>0</v>
      </c>
      <c r="Z47" s="114"/>
      <c r="AB47" s="114"/>
      <c r="AD47" s="115"/>
    </row>
    <row r="48" spans="1:30" x14ac:dyDescent="0.3">
      <c r="A48" s="19" t="s">
        <v>38</v>
      </c>
      <c r="B48" s="20" t="s">
        <v>67</v>
      </c>
      <c r="C48" s="21"/>
      <c r="D48" s="52" t="s">
        <v>74</v>
      </c>
      <c r="E48" s="21" t="s">
        <v>54</v>
      </c>
      <c r="F48" s="22">
        <v>210</v>
      </c>
      <c r="G48" s="23" t="s">
        <v>84</v>
      </c>
      <c r="H48" s="24">
        <v>40</v>
      </c>
      <c r="I48" s="25" t="s">
        <v>56</v>
      </c>
      <c r="J48" s="63">
        <v>400</v>
      </c>
      <c r="K48" s="119" t="s">
        <v>137</v>
      </c>
      <c r="L48" s="26">
        <v>6400</v>
      </c>
      <c r="M48" s="27">
        <v>4.4222099999999998</v>
      </c>
      <c r="N48" s="27">
        <v>3.8453999999999997</v>
      </c>
      <c r="O48" s="81"/>
      <c r="P48" s="64"/>
      <c r="Q48" s="39" t="str">
        <f t="shared" si="0"/>
        <v/>
      </c>
      <c r="R48" s="27">
        <f>IFERROR(IF($S$104&gt;499000,N48*Q48,M48*Q48),0)</f>
        <v>0</v>
      </c>
      <c r="S48" s="99">
        <f t="shared" si="7"/>
        <v>0</v>
      </c>
      <c r="T48" s="99">
        <f t="shared" si="8"/>
        <v>0</v>
      </c>
      <c r="V48" s="82" t="str">
        <f>IFERROR("Вам потребуется "&amp;ROUND(VLOOKUP(F48,'списки и справочники'!A:C,3,FALSE)*Q48/1000,2)&amp;" кг пленки ЗАКАЗАТЬ","")</f>
        <v/>
      </c>
      <c r="W48" s="83"/>
      <c r="X48" s="68">
        <f>IFERROR(ROUND(VLOOKUP(F48,'списки и справочники'!A:C,3,FALSE)*Q48/1000,2),0)</f>
        <v>0</v>
      </c>
      <c r="Z48" s="114"/>
      <c r="AB48" s="114"/>
      <c r="AD48" s="115"/>
    </row>
    <row r="49" spans="1:30" x14ac:dyDescent="0.3">
      <c r="A49" s="19" t="s">
        <v>26</v>
      </c>
      <c r="B49" s="20" t="s">
        <v>67</v>
      </c>
      <c r="C49" s="21" t="s">
        <v>72</v>
      </c>
      <c r="D49" s="51"/>
      <c r="E49" s="21" t="s">
        <v>54</v>
      </c>
      <c r="F49" s="22">
        <v>210</v>
      </c>
      <c r="G49" s="23" t="s">
        <v>84</v>
      </c>
      <c r="H49" s="24">
        <v>45</v>
      </c>
      <c r="I49" s="25" t="s">
        <v>55</v>
      </c>
      <c r="J49" s="63">
        <v>3190</v>
      </c>
      <c r="K49" s="119" t="s">
        <v>139</v>
      </c>
      <c r="L49" s="26">
        <v>6380</v>
      </c>
      <c r="M49" s="27">
        <v>6.2137949999999993</v>
      </c>
      <c r="N49" s="27">
        <v>5.4032999999999998</v>
      </c>
      <c r="O49" s="81"/>
      <c r="P49" s="64"/>
      <c r="Q49" s="39" t="str">
        <f t="shared" si="0"/>
        <v/>
      </c>
      <c r="R49" s="27">
        <f>IFERROR(IF($S$104&gt;499000,N49*Q49,M49*Q49),0)</f>
        <v>0</v>
      </c>
      <c r="S49" s="99">
        <f t="shared" si="7"/>
        <v>0</v>
      </c>
      <c r="T49" s="99">
        <f t="shared" si="8"/>
        <v>0</v>
      </c>
      <c r="V49" s="82" t="str">
        <f>IFERROR("Вам потребуется "&amp;ROUND(VLOOKUP(F49,'списки и справочники'!A:C,3,FALSE)*Q49/1000,2)&amp;" кг пленки ЗАКАЗАТЬ","")</f>
        <v/>
      </c>
      <c r="W49" s="83"/>
      <c r="X49" s="68">
        <f>IFERROR(ROUND(VLOOKUP(F49,'списки и справочники'!A:C,3,FALSE)*Q49/1000,2),0)</f>
        <v>0</v>
      </c>
      <c r="Z49" s="114"/>
      <c r="AB49" s="114"/>
      <c r="AD49" s="115"/>
    </row>
    <row r="50" spans="1:30" x14ac:dyDescent="0.3">
      <c r="A50" s="19" t="s">
        <v>27</v>
      </c>
      <c r="B50" s="20" t="s">
        <v>67</v>
      </c>
      <c r="C50" s="21" t="s">
        <v>73</v>
      </c>
      <c r="D50" s="51"/>
      <c r="E50" s="21" t="s">
        <v>54</v>
      </c>
      <c r="F50" s="22">
        <v>210</v>
      </c>
      <c r="G50" s="23" t="s">
        <v>84</v>
      </c>
      <c r="H50" s="24">
        <v>45</v>
      </c>
      <c r="I50" s="25" t="s">
        <v>55</v>
      </c>
      <c r="J50" s="63">
        <v>3190</v>
      </c>
      <c r="K50" s="119" t="s">
        <v>139</v>
      </c>
      <c r="L50" s="26">
        <v>6380</v>
      </c>
      <c r="M50" s="27">
        <v>6.2137949999999993</v>
      </c>
      <c r="N50" s="27">
        <v>5.4032999999999998</v>
      </c>
      <c r="O50" s="81"/>
      <c r="P50" s="64"/>
      <c r="Q50" s="39" t="str">
        <f t="shared" si="0"/>
        <v/>
      </c>
      <c r="R50" s="27">
        <f>IFERROR(IF($S$104&gt;499000,N50*Q50,M50*Q50),0)</f>
        <v>0</v>
      </c>
      <c r="S50" s="99">
        <f t="shared" si="7"/>
        <v>0</v>
      </c>
      <c r="T50" s="99">
        <f t="shared" si="8"/>
        <v>0</v>
      </c>
      <c r="V50" s="82" t="str">
        <f>IFERROR("Вам потребуется "&amp;ROUND(VLOOKUP(F50,'списки и справочники'!A:C,3,FALSE)*Q50/1000,2)&amp;" кг пленки ЗАКАЗАТЬ","")</f>
        <v/>
      </c>
      <c r="W50" s="83"/>
      <c r="X50" s="68">
        <f>IFERROR(ROUND(VLOOKUP(F50,'списки и справочники'!A:C,3,FALSE)*Q50/1000,2),0)</f>
        <v>0</v>
      </c>
      <c r="Z50" s="114"/>
      <c r="AB50" s="114"/>
      <c r="AD50" s="115"/>
    </row>
    <row r="51" spans="1:30" x14ac:dyDescent="0.3">
      <c r="A51" s="19" t="s">
        <v>29</v>
      </c>
      <c r="B51" s="20" t="s">
        <v>67</v>
      </c>
      <c r="C51" s="21"/>
      <c r="D51" s="52" t="s">
        <v>74</v>
      </c>
      <c r="E51" s="21" t="s">
        <v>54</v>
      </c>
      <c r="F51" s="22">
        <v>210</v>
      </c>
      <c r="G51" s="23" t="s">
        <v>84</v>
      </c>
      <c r="H51" s="24">
        <v>47</v>
      </c>
      <c r="I51" s="25" t="s">
        <v>55</v>
      </c>
      <c r="J51" s="63">
        <v>400</v>
      </c>
      <c r="K51" s="119" t="s">
        <v>137</v>
      </c>
      <c r="L51" s="26">
        <v>6400</v>
      </c>
      <c r="M51" s="27">
        <v>5.3860249999999992</v>
      </c>
      <c r="N51" s="27">
        <v>4.6834999999999996</v>
      </c>
      <c r="O51" s="81"/>
      <c r="P51" s="64"/>
      <c r="Q51" s="39" t="str">
        <f t="shared" si="0"/>
        <v/>
      </c>
      <c r="R51" s="27">
        <f>IFERROR(IF($S$104&gt;499000,N51*Q51,M51*Q51),0)</f>
        <v>0</v>
      </c>
      <c r="S51" s="99">
        <f t="shared" si="7"/>
        <v>0</v>
      </c>
      <c r="T51" s="99">
        <f t="shared" si="8"/>
        <v>0</v>
      </c>
      <c r="V51" s="82" t="str">
        <f>IFERROR("Вам потребуется "&amp;ROUND(VLOOKUP(F51,'списки и справочники'!A:C,3,FALSE)*Q51/1000,2)&amp;" кг пленки ЗАКАЗАТЬ","")</f>
        <v/>
      </c>
      <c r="W51" s="83"/>
      <c r="X51" s="68">
        <f>IFERROR(ROUND(VLOOKUP(F51,'списки и справочники'!A:C,3,FALSE)*Q51/1000,2),0)</f>
        <v>0</v>
      </c>
      <c r="Z51" s="114"/>
      <c r="AB51" s="114"/>
      <c r="AD51" s="115"/>
    </row>
    <row r="52" spans="1:30" x14ac:dyDescent="0.3">
      <c r="A52" s="19" t="s">
        <v>24</v>
      </c>
      <c r="B52" s="20" t="s">
        <v>67</v>
      </c>
      <c r="C52" s="21"/>
      <c r="D52" s="52" t="s">
        <v>74</v>
      </c>
      <c r="E52" s="21" t="s">
        <v>54</v>
      </c>
      <c r="F52" s="22">
        <v>210</v>
      </c>
      <c r="G52" s="23" t="s">
        <v>84</v>
      </c>
      <c r="H52" s="24">
        <v>47</v>
      </c>
      <c r="I52" s="25" t="s">
        <v>56</v>
      </c>
      <c r="J52" s="63">
        <v>400</v>
      </c>
      <c r="K52" s="119" t="s">
        <v>137</v>
      </c>
      <c r="L52" s="26">
        <v>6400</v>
      </c>
      <c r="M52" s="27">
        <v>5.3860249999999992</v>
      </c>
      <c r="N52" s="27">
        <v>4.6834999999999996</v>
      </c>
      <c r="O52" s="81"/>
      <c r="P52" s="64"/>
      <c r="Q52" s="39" t="str">
        <f t="shared" si="0"/>
        <v/>
      </c>
      <c r="R52" s="27">
        <f>IFERROR(IF($S$104&gt;499000,N52*Q52,M52*Q52),0)</f>
        <v>0</v>
      </c>
      <c r="S52" s="99">
        <f t="shared" si="7"/>
        <v>0</v>
      </c>
      <c r="T52" s="99">
        <f t="shared" si="8"/>
        <v>0</v>
      </c>
      <c r="V52" s="82" t="str">
        <f>IFERROR("Вам потребуется "&amp;ROUND(VLOOKUP(F52,'списки и справочники'!A:C,3,FALSE)*Q52/1000,2)&amp;" кг пленки ЗАКАЗАТЬ","")</f>
        <v/>
      </c>
      <c r="W52" s="83"/>
      <c r="X52" s="68">
        <f>IFERROR(ROUND(VLOOKUP(F52,'списки и справочники'!A:C,3,FALSE)*Q52/1000,2),0)</f>
        <v>0</v>
      </c>
      <c r="Z52" s="114"/>
      <c r="AB52" s="114"/>
      <c r="AD52" s="115"/>
    </row>
    <row r="53" spans="1:30" x14ac:dyDescent="0.3">
      <c r="A53" s="19" t="s">
        <v>31</v>
      </c>
      <c r="B53" s="20" t="s">
        <v>67</v>
      </c>
      <c r="C53" s="21"/>
      <c r="D53" s="52" t="s">
        <v>74</v>
      </c>
      <c r="E53" s="21" t="s">
        <v>54</v>
      </c>
      <c r="F53" s="22">
        <v>210</v>
      </c>
      <c r="G53" s="23" t="s">
        <v>84</v>
      </c>
      <c r="H53" s="24">
        <v>55</v>
      </c>
      <c r="I53" s="25" t="s">
        <v>55</v>
      </c>
      <c r="J53" s="63">
        <v>400</v>
      </c>
      <c r="K53" s="119" t="s">
        <v>137</v>
      </c>
      <c r="L53" s="26">
        <v>6400</v>
      </c>
      <c r="M53" s="27">
        <v>5.5827900000000001</v>
      </c>
      <c r="N53" s="27">
        <v>4.8546000000000005</v>
      </c>
      <c r="O53" s="81"/>
      <c r="P53" s="64"/>
      <c r="Q53" s="39" t="str">
        <f t="shared" si="0"/>
        <v/>
      </c>
      <c r="R53" s="27">
        <f>IFERROR(IF($S$104&gt;499000,N53*Q53,M53*Q53),0)</f>
        <v>0</v>
      </c>
      <c r="S53" s="99">
        <f t="shared" si="7"/>
        <v>0</v>
      </c>
      <c r="T53" s="99">
        <f t="shared" si="8"/>
        <v>0</v>
      </c>
      <c r="V53" s="82" t="str">
        <f>IFERROR("Вам потребуется "&amp;ROUND(VLOOKUP(F53,'списки и справочники'!A:C,3,FALSE)*Q53/1000,2)&amp;" кг пленки ЗАКАЗАТЬ","")</f>
        <v/>
      </c>
      <c r="W53" s="83"/>
      <c r="X53" s="68">
        <f>IFERROR(ROUND(VLOOKUP(F53,'списки и справочники'!A:C,3,FALSE)*Q53/1000,2),0)</f>
        <v>0</v>
      </c>
      <c r="Z53" s="114"/>
      <c r="AB53" s="114"/>
      <c r="AD53" s="115"/>
    </row>
    <row r="54" spans="1:30" x14ac:dyDescent="0.3">
      <c r="A54" s="19" t="s">
        <v>30</v>
      </c>
      <c r="B54" s="20" t="s">
        <v>67</v>
      </c>
      <c r="C54" s="21"/>
      <c r="D54" s="52" t="s">
        <v>74</v>
      </c>
      <c r="E54" s="21" t="s">
        <v>54</v>
      </c>
      <c r="F54" s="22">
        <v>210</v>
      </c>
      <c r="G54" s="23" t="s">
        <v>84</v>
      </c>
      <c r="H54" s="24">
        <v>55</v>
      </c>
      <c r="I54" s="25" t="s">
        <v>56</v>
      </c>
      <c r="J54" s="63">
        <v>400</v>
      </c>
      <c r="K54" s="119" t="s">
        <v>137</v>
      </c>
      <c r="L54" s="26">
        <v>6400</v>
      </c>
      <c r="M54" s="27">
        <v>5.5827900000000001</v>
      </c>
      <c r="N54" s="27">
        <v>4.8546000000000005</v>
      </c>
      <c r="O54" s="81"/>
      <c r="P54" s="64"/>
      <c r="Q54" s="39" t="str">
        <f t="shared" si="0"/>
        <v/>
      </c>
      <c r="R54" s="27">
        <f>IFERROR(IF($S$104&gt;499000,N54*Q54,M54*Q54),0)</f>
        <v>0</v>
      </c>
      <c r="S54" s="99">
        <f t="shared" si="7"/>
        <v>0</v>
      </c>
      <c r="T54" s="99">
        <f t="shared" si="8"/>
        <v>0</v>
      </c>
      <c r="V54" s="82" t="str">
        <f>IFERROR("Вам потребуется "&amp;ROUND(VLOOKUP(F54,'списки и справочники'!A:C,3,FALSE)*Q54/1000,2)&amp;" кг пленки ЗАКАЗАТЬ","")</f>
        <v/>
      </c>
      <c r="W54" s="83"/>
      <c r="X54" s="68">
        <f>IFERROR(ROUND(VLOOKUP(F54,'списки и справочники'!A:C,3,FALSE)*Q54/1000,2),0)</f>
        <v>0</v>
      </c>
      <c r="Z54" s="114"/>
      <c r="AB54" s="114"/>
      <c r="AD54" s="115"/>
    </row>
    <row r="55" spans="1:30" s="86" customFormat="1" x14ac:dyDescent="0.3">
      <c r="A55" s="19" t="s">
        <v>32</v>
      </c>
      <c r="B55" s="20" t="s">
        <v>67</v>
      </c>
      <c r="C55" s="21"/>
      <c r="D55" s="52" t="s">
        <v>74</v>
      </c>
      <c r="E55" s="21" t="s">
        <v>54</v>
      </c>
      <c r="F55" s="22">
        <v>210</v>
      </c>
      <c r="G55" s="23" t="s">
        <v>84</v>
      </c>
      <c r="H55" s="24">
        <v>70</v>
      </c>
      <c r="I55" s="25" t="s">
        <v>55</v>
      </c>
      <c r="J55" s="63">
        <v>390</v>
      </c>
      <c r="K55" s="119" t="s">
        <v>137</v>
      </c>
      <c r="L55" s="26">
        <v>6240</v>
      </c>
      <c r="M55" s="27">
        <v>6.8434199999999992</v>
      </c>
      <c r="N55" s="27">
        <v>5.9508000000000001</v>
      </c>
      <c r="O55" s="85"/>
      <c r="P55" s="64"/>
      <c r="Q55" s="39" t="str">
        <f t="shared" si="0"/>
        <v/>
      </c>
      <c r="R55" s="27">
        <f>IFERROR(IF($S$104&gt;499000,N55*Q55,M55*Q55),0)</f>
        <v>0</v>
      </c>
      <c r="S55" s="99">
        <f t="shared" si="7"/>
        <v>0</v>
      </c>
      <c r="T55" s="99">
        <f t="shared" si="8"/>
        <v>0</v>
      </c>
      <c r="V55" s="82" t="str">
        <f>IFERROR("Вам потребуется "&amp;ROUND(VLOOKUP(F55,'списки и справочники'!A:C,3,FALSE)*Q55/1000,2)&amp;" кг пленки ЗАКАЗАТЬ","")</f>
        <v/>
      </c>
      <c r="W55" s="83"/>
      <c r="X55" s="68">
        <f>IFERROR(ROUND(VLOOKUP(F55,'списки и справочники'!A:C,3,FALSE)*Q55/1000,2),0)</f>
        <v>0</v>
      </c>
      <c r="Y55" s="7"/>
      <c r="Z55" s="114"/>
      <c r="AA55" s="7"/>
      <c r="AB55" s="114"/>
      <c r="AD55" s="115"/>
    </row>
    <row r="56" spans="1:30" s="86" customFormat="1" x14ac:dyDescent="0.3">
      <c r="A56" s="19" t="s">
        <v>33</v>
      </c>
      <c r="B56" s="20" t="s">
        <v>67</v>
      </c>
      <c r="C56" s="21"/>
      <c r="D56" s="52" t="s">
        <v>74</v>
      </c>
      <c r="E56" s="21" t="s">
        <v>54</v>
      </c>
      <c r="F56" s="22">
        <v>210</v>
      </c>
      <c r="G56" s="23" t="s">
        <v>84</v>
      </c>
      <c r="H56" s="24">
        <v>70</v>
      </c>
      <c r="I56" s="25" t="s">
        <v>56</v>
      </c>
      <c r="J56" s="63">
        <v>390</v>
      </c>
      <c r="K56" s="119" t="s">
        <v>137</v>
      </c>
      <c r="L56" s="26">
        <v>6240</v>
      </c>
      <c r="M56" s="27">
        <v>6.8434199999999992</v>
      </c>
      <c r="N56" s="27">
        <v>5.9508000000000001</v>
      </c>
      <c r="O56" s="85"/>
      <c r="P56" s="64"/>
      <c r="Q56" s="39" t="str">
        <f t="shared" si="0"/>
        <v/>
      </c>
      <c r="R56" s="27">
        <f>IFERROR(IF($S$104&gt;499000,N56*Q56,M56*Q56),0)</f>
        <v>0</v>
      </c>
      <c r="S56" s="99">
        <f t="shared" si="7"/>
        <v>0</v>
      </c>
      <c r="T56" s="99">
        <f t="shared" si="8"/>
        <v>0</v>
      </c>
      <c r="V56" s="82" t="str">
        <f>IFERROR("Вам потребуется "&amp;ROUND(VLOOKUP(F56,'списки и справочники'!A:C,3,FALSE)*Q56/1000,2)&amp;" кг пленки ЗАКАЗАТЬ","")</f>
        <v/>
      </c>
      <c r="W56" s="83"/>
      <c r="X56" s="68">
        <f>IFERROR(ROUND(VLOOKUP(F56,'списки и справочники'!A:C,3,FALSE)*Q56/1000,2),0)</f>
        <v>0</v>
      </c>
      <c r="Y56" s="7"/>
      <c r="Z56" s="114"/>
      <c r="AA56" s="7"/>
      <c r="AB56" s="114"/>
      <c r="AD56" s="115"/>
    </row>
    <row r="57" spans="1:30" x14ac:dyDescent="0.3">
      <c r="A57" s="19" t="s">
        <v>23</v>
      </c>
      <c r="B57" s="20" t="s">
        <v>67</v>
      </c>
      <c r="C57" s="21"/>
      <c r="D57" s="52" t="s">
        <v>74</v>
      </c>
      <c r="E57" s="21" t="s">
        <v>54</v>
      </c>
      <c r="F57" s="22">
        <v>210</v>
      </c>
      <c r="G57" s="23" t="s">
        <v>84</v>
      </c>
      <c r="H57" s="24">
        <v>81</v>
      </c>
      <c r="I57" s="25" t="s">
        <v>55</v>
      </c>
      <c r="J57" s="63">
        <v>350</v>
      </c>
      <c r="K57" s="119" t="s">
        <v>137</v>
      </c>
      <c r="L57" s="26">
        <v>5600</v>
      </c>
      <c r="M57" s="27">
        <v>7.3801249999999987</v>
      </c>
      <c r="N57" s="27">
        <v>6.4174999999999995</v>
      </c>
      <c r="O57" s="81"/>
      <c r="P57" s="64"/>
      <c r="Q57" s="39" t="str">
        <f t="shared" ref="Q57:Q75" si="9">IF(P57*J57=0,"",P57*J57)</f>
        <v/>
      </c>
      <c r="R57" s="27">
        <f>IFERROR(IF($S$104&gt;499000,N57*Q57,M57*Q57),0)</f>
        <v>0</v>
      </c>
      <c r="S57" s="99">
        <f t="shared" si="7"/>
        <v>0</v>
      </c>
      <c r="T57" s="99">
        <f t="shared" si="8"/>
        <v>0</v>
      </c>
      <c r="V57" s="82" t="str">
        <f>IFERROR("Вам потребуется "&amp;ROUND(VLOOKUP(F57,'списки и справочники'!A:C,3,FALSE)*Q57/1000,2)&amp;" кг пленки ЗАКАЗАТЬ","")</f>
        <v/>
      </c>
      <c r="W57" s="83"/>
      <c r="X57" s="68">
        <f>IFERROR(ROUND(VLOOKUP(F57,'списки и справочники'!A:C,3,FALSE)*Q57/1000,2),0)</f>
        <v>0</v>
      </c>
      <c r="Z57" s="114"/>
      <c r="AB57" s="114"/>
      <c r="AD57" s="115"/>
    </row>
    <row r="58" spans="1:30" x14ac:dyDescent="0.3">
      <c r="A58" s="19" t="s">
        <v>34</v>
      </c>
      <c r="B58" s="20" t="s">
        <v>67</v>
      </c>
      <c r="C58" s="21"/>
      <c r="D58" s="52" t="s">
        <v>74</v>
      </c>
      <c r="E58" s="21" t="s">
        <v>54</v>
      </c>
      <c r="F58" s="22">
        <v>210</v>
      </c>
      <c r="G58" s="23" t="s">
        <v>84</v>
      </c>
      <c r="H58" s="24">
        <v>81</v>
      </c>
      <c r="I58" s="25" t="s">
        <v>56</v>
      </c>
      <c r="J58" s="63">
        <v>350</v>
      </c>
      <c r="K58" s="119" t="s">
        <v>137</v>
      </c>
      <c r="L58" s="26">
        <v>5600</v>
      </c>
      <c r="M58" s="27">
        <v>7.3801249999999987</v>
      </c>
      <c r="N58" s="27">
        <v>6.4174999999999995</v>
      </c>
      <c r="O58" s="81"/>
      <c r="P58" s="64"/>
      <c r="Q58" s="39" t="str">
        <f t="shared" si="9"/>
        <v/>
      </c>
      <c r="R58" s="27">
        <f>IFERROR(IF($S$104&gt;499000,N58*Q58,M58*Q58),0)</f>
        <v>0</v>
      </c>
      <c r="S58" s="99">
        <f t="shared" si="7"/>
        <v>0</v>
      </c>
      <c r="T58" s="99">
        <f t="shared" si="8"/>
        <v>0</v>
      </c>
      <c r="V58" s="82" t="str">
        <f>IFERROR("Вам потребуется "&amp;ROUND(VLOOKUP(F58,'списки и справочники'!A:C,3,FALSE)*Q58/1000,2)&amp;" кг пленки ЗАКАЗАТЬ","")</f>
        <v/>
      </c>
      <c r="W58" s="83"/>
      <c r="X58" s="68">
        <f>IFERROR(ROUND(VLOOKUP(F58,'списки и справочники'!A:C,3,FALSE)*Q58/1000,2),0)</f>
        <v>0</v>
      </c>
      <c r="Z58" s="114"/>
      <c r="AB58" s="114"/>
      <c r="AD58" s="115"/>
    </row>
    <row r="59" spans="1:30" s="73" customFormat="1" ht="4.5" customHeight="1" x14ac:dyDescent="0.3">
      <c r="A59" s="28" t="s">
        <v>77</v>
      </c>
      <c r="B59" s="28"/>
      <c r="C59" s="28"/>
      <c r="D59" s="28"/>
      <c r="E59" s="28"/>
      <c r="F59" s="29"/>
      <c r="G59" s="30"/>
      <c r="H59" s="30"/>
      <c r="I59" s="28"/>
      <c r="J59" s="100"/>
      <c r="K59" s="100"/>
      <c r="L59" s="30"/>
      <c r="M59" s="31"/>
      <c r="N59" s="31"/>
      <c r="O59" s="84"/>
      <c r="P59" s="1"/>
      <c r="Q59" s="40" t="str">
        <f t="shared" si="9"/>
        <v/>
      </c>
      <c r="R59" s="31"/>
      <c r="S59" s="99"/>
      <c r="T59" s="99"/>
      <c r="V59" s="82" t="str">
        <f>IFERROR("Вам потребуется "&amp;ROUND(VLOOKUP(F59,'списки и справочники'!A:C,3,FALSE)*Q59/1000,2)&amp;" кг пленки ЗАКАЗАТЬ","")</f>
        <v/>
      </c>
      <c r="W59" s="83"/>
      <c r="X59" s="68"/>
      <c r="Y59" s="7"/>
      <c r="Z59" s="114"/>
      <c r="AA59" s="7"/>
      <c r="AB59" s="114"/>
      <c r="AC59" s="86"/>
      <c r="AD59" s="115"/>
    </row>
    <row r="60" spans="1:30" x14ac:dyDescent="0.3">
      <c r="A60" s="19" t="s">
        <v>97</v>
      </c>
      <c r="B60" s="20" t="s">
        <v>66</v>
      </c>
      <c r="C60" s="21" t="s">
        <v>79</v>
      </c>
      <c r="D60" s="21"/>
      <c r="E60" s="21" t="s">
        <v>54</v>
      </c>
      <c r="F60" s="22">
        <v>218</v>
      </c>
      <c r="G60" s="23" t="s">
        <v>85</v>
      </c>
      <c r="H60" s="24">
        <v>17</v>
      </c>
      <c r="I60" s="25" t="s">
        <v>55</v>
      </c>
      <c r="J60" s="63">
        <v>400</v>
      </c>
      <c r="K60" s="119" t="s">
        <v>137</v>
      </c>
      <c r="L60" s="26">
        <v>9600</v>
      </c>
      <c r="M60" s="27">
        <v>4.1814</v>
      </c>
      <c r="N60" s="27">
        <v>3.6360000000000001</v>
      </c>
      <c r="O60" s="81"/>
      <c r="P60" s="64"/>
      <c r="Q60" s="39" t="str">
        <f t="shared" si="9"/>
        <v/>
      </c>
      <c r="R60" s="27">
        <f>IFERROR(IF($S$104&gt;499000,N60*Q60,M60*Q60),0)</f>
        <v>0</v>
      </c>
      <c r="S60" s="99">
        <f t="shared" ref="S60:S64" si="10">IFERROR(M60*Q60,0)</f>
        <v>0</v>
      </c>
      <c r="T60" s="99">
        <f t="shared" ref="T60:T64" si="11">IFERROR(N60*Q60,0)</f>
        <v>0</v>
      </c>
      <c r="V60" s="82"/>
      <c r="W60" s="83"/>
      <c r="X60" s="68">
        <f>IFERROR(ROUND(VLOOKUP(F$58,'списки и справочники'!A:C,3,FALSE)*Q60/1000,2),0)</f>
        <v>0</v>
      </c>
      <c r="Z60" s="114"/>
      <c r="AB60" s="114"/>
      <c r="AD60" s="115"/>
    </row>
    <row r="61" spans="1:30" x14ac:dyDescent="0.3">
      <c r="A61" s="19" t="s">
        <v>51</v>
      </c>
      <c r="B61" s="20" t="s">
        <v>67</v>
      </c>
      <c r="C61" s="21" t="s">
        <v>71</v>
      </c>
      <c r="D61" s="21"/>
      <c r="E61" s="21" t="s">
        <v>54</v>
      </c>
      <c r="F61" s="22">
        <v>218</v>
      </c>
      <c r="G61" s="23" t="s">
        <v>85</v>
      </c>
      <c r="H61" s="24">
        <v>50</v>
      </c>
      <c r="I61" s="25" t="s">
        <v>56</v>
      </c>
      <c r="J61" s="63">
        <v>370</v>
      </c>
      <c r="K61" s="119" t="s">
        <v>137</v>
      </c>
      <c r="L61" s="26">
        <v>5920</v>
      </c>
      <c r="M61" s="27">
        <v>6.5722499999999995</v>
      </c>
      <c r="N61" s="27">
        <v>5.7149999999999999</v>
      </c>
      <c r="O61" s="81"/>
      <c r="P61" s="64"/>
      <c r="Q61" s="39" t="str">
        <f t="shared" si="9"/>
        <v/>
      </c>
      <c r="R61" s="27">
        <f>IFERROR(IF($S$104&gt;499000,N61*Q61,M61*Q61),0)</f>
        <v>0</v>
      </c>
      <c r="S61" s="99">
        <f t="shared" si="10"/>
        <v>0</v>
      </c>
      <c r="T61" s="99">
        <f t="shared" si="11"/>
        <v>0</v>
      </c>
      <c r="V61" s="82" t="str">
        <f>IFERROR("Вам потребуется "&amp;ROUND(VLOOKUP(F$58,'списки и справочники'!A:C,3,FALSE)*Q61/1000,2)&amp;" кг пленки ЗАКАЗАТЬ","")</f>
        <v/>
      </c>
      <c r="W61" s="83"/>
      <c r="X61" s="68">
        <f>IFERROR(ROUND(VLOOKUP(F$58,'списки и справочники'!A:C,3,FALSE)*Q61/1000,2),0)</f>
        <v>0</v>
      </c>
      <c r="Z61" s="114"/>
      <c r="AB61" s="114"/>
      <c r="AD61" s="115"/>
    </row>
    <row r="62" spans="1:30" x14ac:dyDescent="0.3">
      <c r="A62" s="19" t="s">
        <v>48</v>
      </c>
      <c r="B62" s="20" t="s">
        <v>66</v>
      </c>
      <c r="C62" s="21"/>
      <c r="D62" s="21"/>
      <c r="E62" s="21" t="s">
        <v>57</v>
      </c>
      <c r="F62" s="22">
        <v>218</v>
      </c>
      <c r="G62" s="23" t="s">
        <v>85</v>
      </c>
      <c r="H62" s="24">
        <v>18</v>
      </c>
      <c r="I62" s="25" t="s">
        <v>55</v>
      </c>
      <c r="J62" s="63">
        <v>400</v>
      </c>
      <c r="K62" s="119" t="s">
        <v>137</v>
      </c>
      <c r="L62" s="26">
        <v>7200</v>
      </c>
      <c r="M62" s="27">
        <v>4.1814</v>
      </c>
      <c r="N62" s="27">
        <v>3.6360000000000001</v>
      </c>
      <c r="O62" s="81"/>
      <c r="P62" s="64"/>
      <c r="Q62" s="39" t="str">
        <f t="shared" si="9"/>
        <v/>
      </c>
      <c r="R62" s="27">
        <f>IFERROR(IF($S$104&gt;499000,N62*Q62,M62*Q62),0)</f>
        <v>0</v>
      </c>
      <c r="S62" s="99">
        <f t="shared" si="10"/>
        <v>0</v>
      </c>
      <c r="T62" s="99">
        <f t="shared" si="11"/>
        <v>0</v>
      </c>
      <c r="V62" s="82"/>
      <c r="W62" s="83"/>
      <c r="X62" s="68">
        <f>IFERROR(ROUND(VLOOKUP(F$58,'списки и справочники'!A:C,3,FALSE)*Q62/1000,2),0)</f>
        <v>0</v>
      </c>
      <c r="Z62" s="114"/>
      <c r="AB62" s="114"/>
      <c r="AD62" s="115"/>
    </row>
    <row r="63" spans="1:30" x14ac:dyDescent="0.3">
      <c r="A63" s="19" t="s">
        <v>49</v>
      </c>
      <c r="B63" s="20" t="s">
        <v>67</v>
      </c>
      <c r="C63" s="21"/>
      <c r="D63" s="21"/>
      <c r="E63" s="21" t="s">
        <v>54</v>
      </c>
      <c r="F63" s="22">
        <v>218</v>
      </c>
      <c r="G63" s="23" t="s">
        <v>85</v>
      </c>
      <c r="H63" s="24">
        <v>40</v>
      </c>
      <c r="I63" s="25" t="s">
        <v>56</v>
      </c>
      <c r="J63" s="63">
        <v>400</v>
      </c>
      <c r="K63" s="119" t="s">
        <v>137</v>
      </c>
      <c r="L63" s="26">
        <v>6400</v>
      </c>
      <c r="M63" s="27">
        <v>5.1749999999999998</v>
      </c>
      <c r="N63" s="27">
        <v>4.5</v>
      </c>
      <c r="O63" s="81"/>
      <c r="P63" s="64"/>
      <c r="Q63" s="39" t="str">
        <f t="shared" si="9"/>
        <v/>
      </c>
      <c r="R63" s="27">
        <f>IFERROR(IF($S$104&gt;499000,N63*Q63,M63*Q63),0)</f>
        <v>0</v>
      </c>
      <c r="S63" s="99">
        <f t="shared" si="10"/>
        <v>0</v>
      </c>
      <c r="T63" s="99">
        <f t="shared" si="11"/>
        <v>0</v>
      </c>
      <c r="V63" s="82" t="str">
        <f>IFERROR("Вам потребуется "&amp;ROUND(VLOOKUP(F$58,'списки и справочники'!A:C,3,FALSE)*Q63/1000,2)&amp;" кг пленки ЗАКАЗАТЬ","")</f>
        <v/>
      </c>
      <c r="W63" s="83"/>
      <c r="X63" s="68">
        <f>IFERROR(ROUND(VLOOKUP(F$58,'списки и справочники'!A:C,3,FALSE)*Q63/1000,2),0)</f>
        <v>0</v>
      </c>
      <c r="Z63" s="114"/>
      <c r="AB63" s="114"/>
      <c r="AD63" s="115"/>
    </row>
    <row r="64" spans="1:30" x14ac:dyDescent="0.3">
      <c r="A64" s="19" t="s">
        <v>50</v>
      </c>
      <c r="B64" s="20" t="s">
        <v>67</v>
      </c>
      <c r="C64" s="21"/>
      <c r="D64" s="21"/>
      <c r="E64" s="21" t="s">
        <v>54</v>
      </c>
      <c r="F64" s="22">
        <v>218</v>
      </c>
      <c r="G64" s="23" t="s">
        <v>85</v>
      </c>
      <c r="H64" s="24">
        <v>50</v>
      </c>
      <c r="I64" s="25" t="s">
        <v>56</v>
      </c>
      <c r="J64" s="63">
        <v>400</v>
      </c>
      <c r="K64" s="119" t="s">
        <v>137</v>
      </c>
      <c r="L64" s="26">
        <v>6400</v>
      </c>
      <c r="M64" s="27">
        <v>6.6447000000000003</v>
      </c>
      <c r="N64" s="27">
        <v>5.7780000000000005</v>
      </c>
      <c r="O64" s="81"/>
      <c r="P64" s="64"/>
      <c r="Q64" s="39" t="str">
        <f t="shared" si="9"/>
        <v/>
      </c>
      <c r="R64" s="27">
        <f>IFERROR(IF($S$104&gt;499000,N64*Q64,M64*Q64),0)</f>
        <v>0</v>
      </c>
      <c r="S64" s="99">
        <f t="shared" si="10"/>
        <v>0</v>
      </c>
      <c r="T64" s="99">
        <f t="shared" si="11"/>
        <v>0</v>
      </c>
      <c r="V64" s="82" t="str">
        <f>IFERROR("Вам потребуется "&amp;ROUND(VLOOKUP(F$58,'списки и справочники'!A:C,3,FALSE)*Q64/1000,2)&amp;" кг пленки ЗАКАЗАТЬ","")</f>
        <v/>
      </c>
      <c r="W64" s="83"/>
      <c r="X64" s="68">
        <f>IFERROR(ROUND(VLOOKUP(F$58,'списки и справочники'!A:C,3,FALSE)*Q64/1000,2),0)</f>
        <v>0</v>
      </c>
      <c r="Z64" s="114"/>
      <c r="AB64" s="114"/>
      <c r="AD64" s="115"/>
    </row>
    <row r="65" spans="1:30" s="73" customFormat="1" ht="4.5" customHeight="1" x14ac:dyDescent="0.3">
      <c r="A65" s="28" t="s">
        <v>77</v>
      </c>
      <c r="B65" s="28"/>
      <c r="C65" s="28"/>
      <c r="D65" s="28"/>
      <c r="E65" s="28"/>
      <c r="F65" s="29"/>
      <c r="G65" s="30"/>
      <c r="H65" s="30"/>
      <c r="I65" s="28"/>
      <c r="J65" s="100"/>
      <c r="K65" s="100"/>
      <c r="L65" s="30"/>
      <c r="M65" s="31"/>
      <c r="N65" s="31"/>
      <c r="O65" s="84"/>
      <c r="P65" s="1"/>
      <c r="Q65" s="40" t="str">
        <f t="shared" si="9"/>
        <v/>
      </c>
      <c r="R65" s="31"/>
      <c r="S65" s="99"/>
      <c r="T65" s="99"/>
      <c r="V65" s="82" t="str">
        <f>IFERROR("Вам потребуется "&amp;ROUND(VLOOKUP(F65,'списки и справочники'!A:C,3,FALSE)*Q65/1000,2)&amp;" кг пленки ЗАКАЗАТЬ","")</f>
        <v/>
      </c>
      <c r="W65" s="83"/>
      <c r="X65" s="68"/>
      <c r="Y65" s="7"/>
      <c r="Z65" s="114"/>
      <c r="AA65" s="7"/>
      <c r="AB65" s="114"/>
      <c r="AC65" s="86"/>
      <c r="AD65" s="115"/>
    </row>
    <row r="66" spans="1:30" x14ac:dyDescent="0.3">
      <c r="A66" s="19" t="s">
        <v>45</v>
      </c>
      <c r="B66" s="20" t="s">
        <v>67</v>
      </c>
      <c r="C66" s="21" t="s">
        <v>75</v>
      </c>
      <c r="D66" s="51"/>
      <c r="E66" s="21" t="s">
        <v>54</v>
      </c>
      <c r="F66" s="22">
        <v>227</v>
      </c>
      <c r="G66" s="23" t="s">
        <v>86</v>
      </c>
      <c r="H66" s="24">
        <v>36</v>
      </c>
      <c r="I66" s="25" t="s">
        <v>56</v>
      </c>
      <c r="J66" s="63">
        <v>1280</v>
      </c>
      <c r="K66" s="119" t="s">
        <v>137</v>
      </c>
      <c r="L66" s="26">
        <v>20480</v>
      </c>
      <c r="M66" s="27">
        <v>7.1208</v>
      </c>
      <c r="N66" s="27">
        <v>6.1920000000000002</v>
      </c>
      <c r="O66" s="81"/>
      <c r="P66" s="64"/>
      <c r="Q66" s="39" t="str">
        <f t="shared" si="9"/>
        <v/>
      </c>
      <c r="R66" s="27">
        <f>IFERROR(IF($S$104&gt;499000,N66*Q66,M66*Q66),0)</f>
        <v>0</v>
      </c>
      <c r="S66" s="99">
        <f t="shared" ref="S66:S75" si="12">IFERROR(M66*Q66,0)</f>
        <v>0</v>
      </c>
      <c r="T66" s="99">
        <f t="shared" ref="T66:T75" si="13">IFERROR(N66*Q66,0)</f>
        <v>0</v>
      </c>
      <c r="V66" s="82" t="str">
        <f>IFERROR("Вам потребуется "&amp;ROUND(VLOOKUP(F66,'списки и справочники'!A:C,3,FALSE)*Q66/1000,2)&amp;" кг пленки ЗАКАЗАТЬ","")</f>
        <v/>
      </c>
      <c r="W66" s="83"/>
      <c r="X66" s="68">
        <f>IFERROR(ROUND(VLOOKUP(F66,'списки и справочники'!A:C,3,FALSE)*Q66/1000,2),0)</f>
        <v>0</v>
      </c>
      <c r="Z66" s="114"/>
      <c r="AB66" s="114"/>
      <c r="AD66" s="115"/>
    </row>
    <row r="67" spans="1:30" s="86" customFormat="1" x14ac:dyDescent="0.3">
      <c r="A67" s="19" t="s">
        <v>37</v>
      </c>
      <c r="B67" s="20" t="s">
        <v>67</v>
      </c>
      <c r="C67" s="21"/>
      <c r="D67" s="52" t="s">
        <v>74</v>
      </c>
      <c r="E67" s="21" t="s">
        <v>54</v>
      </c>
      <c r="F67" s="22">
        <v>227</v>
      </c>
      <c r="G67" s="23" t="s">
        <v>86</v>
      </c>
      <c r="H67" s="24">
        <v>40</v>
      </c>
      <c r="I67" s="25" t="s">
        <v>55</v>
      </c>
      <c r="J67" s="63">
        <v>320</v>
      </c>
      <c r="K67" s="119" t="s">
        <v>137</v>
      </c>
      <c r="L67" s="26">
        <v>5120</v>
      </c>
      <c r="M67" s="27">
        <v>5.8161249999999995</v>
      </c>
      <c r="N67" s="27">
        <v>5.0575000000000001</v>
      </c>
      <c r="O67" s="85"/>
      <c r="P67" s="64"/>
      <c r="Q67" s="39" t="str">
        <f t="shared" si="9"/>
        <v/>
      </c>
      <c r="R67" s="27">
        <f>IFERROR(IF($S$104&gt;499000,N67*Q67,M67*Q67),0)</f>
        <v>0</v>
      </c>
      <c r="S67" s="99">
        <f t="shared" si="12"/>
        <v>0</v>
      </c>
      <c r="T67" s="99">
        <f t="shared" si="13"/>
        <v>0</v>
      </c>
      <c r="V67" s="82" t="str">
        <f>IFERROR("Вам потребуется "&amp;ROUND(VLOOKUP(F67,'списки и справочники'!A:C,3,FALSE)*Q67/1000,2)&amp;" кг пленки ЗАКАЗАТЬ","")</f>
        <v/>
      </c>
      <c r="W67" s="83"/>
      <c r="X67" s="68">
        <f>IFERROR(ROUND(VLOOKUP(F67,'списки и справочники'!A:C,3,FALSE)*Q67/1000,2),0)</f>
        <v>0</v>
      </c>
      <c r="Y67" s="7"/>
      <c r="Z67" s="114"/>
      <c r="AA67" s="7"/>
      <c r="AB67" s="114"/>
      <c r="AD67" s="115"/>
    </row>
    <row r="68" spans="1:30" s="86" customFormat="1" x14ac:dyDescent="0.3">
      <c r="A68" s="19" t="s">
        <v>39</v>
      </c>
      <c r="B68" s="20" t="s">
        <v>67</v>
      </c>
      <c r="C68" s="21"/>
      <c r="D68" s="52" t="s">
        <v>74</v>
      </c>
      <c r="E68" s="21" t="s">
        <v>54</v>
      </c>
      <c r="F68" s="22">
        <v>227</v>
      </c>
      <c r="G68" s="23" t="s">
        <v>86</v>
      </c>
      <c r="H68" s="24">
        <v>40</v>
      </c>
      <c r="I68" s="25" t="s">
        <v>56</v>
      </c>
      <c r="J68" s="63">
        <v>320</v>
      </c>
      <c r="K68" s="119" t="s">
        <v>137</v>
      </c>
      <c r="L68" s="26">
        <v>5120</v>
      </c>
      <c r="M68" s="27">
        <v>6.1582499999999998</v>
      </c>
      <c r="N68" s="27">
        <v>5.3550000000000004</v>
      </c>
      <c r="O68" s="85"/>
      <c r="P68" s="64"/>
      <c r="Q68" s="39" t="str">
        <f t="shared" si="9"/>
        <v/>
      </c>
      <c r="R68" s="27">
        <f>IFERROR(IF($S$104&gt;499000,N68*Q68,M68*Q68),0)</f>
        <v>0</v>
      </c>
      <c r="S68" s="99">
        <f t="shared" si="12"/>
        <v>0</v>
      </c>
      <c r="T68" s="99">
        <f t="shared" si="13"/>
        <v>0</v>
      </c>
      <c r="V68" s="82" t="str">
        <f>IFERROR("Вам потребуется "&amp;ROUND(VLOOKUP(F68,'списки и справочники'!A:C,3,FALSE)*Q68/1000,2)&amp;" кг пленки ЗАКАЗАТЬ","")</f>
        <v/>
      </c>
      <c r="W68" s="83"/>
      <c r="X68" s="68">
        <f>IFERROR(ROUND(VLOOKUP(F68,'списки и справочники'!A:C,3,FALSE)*Q68/1000,2),0)</f>
        <v>0</v>
      </c>
      <c r="Y68" s="7"/>
      <c r="Z68" s="114"/>
      <c r="AA68" s="7"/>
      <c r="AB68" s="114"/>
      <c r="AD68" s="115"/>
    </row>
    <row r="69" spans="1:30" x14ac:dyDescent="0.3">
      <c r="A69" s="19" t="s">
        <v>42</v>
      </c>
      <c r="B69" s="20" t="s">
        <v>67</v>
      </c>
      <c r="C69" s="21"/>
      <c r="D69" s="52" t="s">
        <v>78</v>
      </c>
      <c r="E69" s="21" t="s">
        <v>54</v>
      </c>
      <c r="F69" s="22">
        <v>227</v>
      </c>
      <c r="G69" s="23" t="s">
        <v>86</v>
      </c>
      <c r="H69" s="24">
        <v>40</v>
      </c>
      <c r="I69" s="25" t="s">
        <v>56</v>
      </c>
      <c r="J69" s="63">
        <v>280</v>
      </c>
      <c r="K69" s="119" t="s">
        <v>137</v>
      </c>
      <c r="L69" s="26">
        <v>4480</v>
      </c>
      <c r="M69" s="27">
        <v>6.6654000000000009</v>
      </c>
      <c r="N69" s="27">
        <v>5.7960000000000012</v>
      </c>
      <c r="O69" s="81"/>
      <c r="P69" s="64"/>
      <c r="Q69" s="39" t="str">
        <f t="shared" si="9"/>
        <v/>
      </c>
      <c r="R69" s="27">
        <f>IFERROR(IF($S$104&gt;499000,N69*Q69,M69*Q69),0)</f>
        <v>0</v>
      </c>
      <c r="S69" s="99">
        <f t="shared" si="12"/>
        <v>0</v>
      </c>
      <c r="T69" s="99">
        <f t="shared" si="13"/>
        <v>0</v>
      </c>
      <c r="V69" s="82" t="str">
        <f>IFERROR("Вам потребуется "&amp;ROUND(VLOOKUP(F69,'списки и справочники'!A:C,3,FALSE)*Q69/1000,2)&amp;" кг пленки ЗАКАЗАТЬ","")</f>
        <v/>
      </c>
      <c r="W69" s="83"/>
      <c r="X69" s="68">
        <f>IFERROR(ROUND(VLOOKUP(F69,'списки и справочники'!A:C,3,FALSE)*Q69/1000,2),0)</f>
        <v>0</v>
      </c>
      <c r="Z69" s="114"/>
      <c r="AB69" s="114"/>
      <c r="AD69" s="115"/>
    </row>
    <row r="70" spans="1:30" x14ac:dyDescent="0.3">
      <c r="A70" s="19" t="s">
        <v>36</v>
      </c>
      <c r="B70" s="20" t="s">
        <v>67</v>
      </c>
      <c r="C70" s="21"/>
      <c r="D70" s="52" t="s">
        <v>74</v>
      </c>
      <c r="E70" s="21" t="s">
        <v>54</v>
      </c>
      <c r="F70" s="22">
        <v>227</v>
      </c>
      <c r="G70" s="23" t="s">
        <v>86</v>
      </c>
      <c r="H70" s="24">
        <v>50</v>
      </c>
      <c r="I70" s="25" t="s">
        <v>55</v>
      </c>
      <c r="J70" s="63">
        <v>312</v>
      </c>
      <c r="K70" s="119" t="s">
        <v>137</v>
      </c>
      <c r="L70" s="26">
        <v>4992</v>
      </c>
      <c r="M70" s="27">
        <v>6.8309999999999995</v>
      </c>
      <c r="N70" s="27">
        <v>5.94</v>
      </c>
      <c r="O70" s="81"/>
      <c r="P70" s="64"/>
      <c r="Q70" s="39" t="str">
        <f t="shared" si="9"/>
        <v/>
      </c>
      <c r="R70" s="27">
        <f>IFERROR(IF($S$104&gt;499000,N70*Q70,M70*Q70),0)</f>
        <v>0</v>
      </c>
      <c r="S70" s="99">
        <f t="shared" si="12"/>
        <v>0</v>
      </c>
      <c r="T70" s="99">
        <f t="shared" si="13"/>
        <v>0</v>
      </c>
      <c r="V70" s="82" t="str">
        <f>IFERROR("Вам потребуется "&amp;ROUND(VLOOKUP(F70,'списки и справочники'!A:C,3,FALSE)*Q70/1000,2)&amp;" кг пленки ЗАКАЗАТЬ","")</f>
        <v/>
      </c>
      <c r="W70" s="83"/>
      <c r="X70" s="68">
        <f>IFERROR(ROUND(VLOOKUP(F70,'списки и справочники'!A:C,3,FALSE)*Q70/1000,2),0)</f>
        <v>0</v>
      </c>
      <c r="Z70" s="114"/>
      <c r="AB70" s="114"/>
      <c r="AD70" s="115"/>
    </row>
    <row r="71" spans="1:30" x14ac:dyDescent="0.3">
      <c r="A71" s="19" t="s">
        <v>40</v>
      </c>
      <c r="B71" s="20" t="s">
        <v>67</v>
      </c>
      <c r="C71" s="21"/>
      <c r="D71" s="52" t="s">
        <v>74</v>
      </c>
      <c r="E71" s="21" t="s">
        <v>54</v>
      </c>
      <c r="F71" s="22">
        <v>227</v>
      </c>
      <c r="G71" s="23" t="s">
        <v>86</v>
      </c>
      <c r="H71" s="24">
        <v>50</v>
      </c>
      <c r="I71" s="25" t="s">
        <v>56</v>
      </c>
      <c r="J71" s="63">
        <v>312</v>
      </c>
      <c r="K71" s="119" t="s">
        <v>137</v>
      </c>
      <c r="L71" s="26">
        <v>4992</v>
      </c>
      <c r="M71" s="27">
        <v>6.8309999999999995</v>
      </c>
      <c r="N71" s="27">
        <v>5.94</v>
      </c>
      <c r="O71" s="81"/>
      <c r="P71" s="64"/>
      <c r="Q71" s="39" t="str">
        <f t="shared" si="9"/>
        <v/>
      </c>
      <c r="R71" s="27">
        <f>IFERROR(IF($S$104&gt;499000,N71*Q71,M71*Q71),0)</f>
        <v>0</v>
      </c>
      <c r="S71" s="99">
        <f t="shared" si="12"/>
        <v>0</v>
      </c>
      <c r="T71" s="99">
        <f t="shared" si="13"/>
        <v>0</v>
      </c>
      <c r="V71" s="82" t="str">
        <f>IFERROR("Вам потребуется "&amp;ROUND(VLOOKUP(F71,'списки и справочники'!A:C,3,FALSE)*Q71/1000,2)&amp;" кг пленки ЗАКАЗАТЬ","")</f>
        <v/>
      </c>
      <c r="W71" s="83"/>
      <c r="X71" s="68">
        <f>IFERROR(ROUND(VLOOKUP(F71,'списки и справочники'!A:C,3,FALSE)*Q71/1000,2),0)</f>
        <v>0</v>
      </c>
      <c r="Z71" s="114"/>
      <c r="AB71" s="114"/>
      <c r="AD71" s="115"/>
    </row>
    <row r="72" spans="1:30" x14ac:dyDescent="0.3">
      <c r="A72" s="19" t="s">
        <v>35</v>
      </c>
      <c r="B72" s="20" t="s">
        <v>67</v>
      </c>
      <c r="C72" s="21"/>
      <c r="D72" s="52" t="s">
        <v>74</v>
      </c>
      <c r="E72" s="21" t="s">
        <v>54</v>
      </c>
      <c r="F72" s="22">
        <v>227</v>
      </c>
      <c r="G72" s="23" t="s">
        <v>86</v>
      </c>
      <c r="H72" s="24">
        <v>60</v>
      </c>
      <c r="I72" s="25" t="s">
        <v>55</v>
      </c>
      <c r="J72" s="63">
        <v>296</v>
      </c>
      <c r="K72" s="119" t="s">
        <v>137</v>
      </c>
      <c r="L72" s="26">
        <v>4736</v>
      </c>
      <c r="M72" s="27">
        <v>8.0108999999999995</v>
      </c>
      <c r="N72" s="27">
        <v>6.9660000000000002</v>
      </c>
      <c r="O72" s="81"/>
      <c r="P72" s="64"/>
      <c r="Q72" s="39" t="str">
        <f t="shared" si="9"/>
        <v/>
      </c>
      <c r="R72" s="27">
        <f>IFERROR(IF($S$104&gt;499000,N72*Q72,M72*Q72),0)</f>
        <v>0</v>
      </c>
      <c r="S72" s="99">
        <f t="shared" si="12"/>
        <v>0</v>
      </c>
      <c r="T72" s="99">
        <f t="shared" si="13"/>
        <v>0</v>
      </c>
      <c r="V72" s="82" t="str">
        <f>IFERROR("Вам потребуется "&amp;ROUND(VLOOKUP(F72,'списки и справочники'!A:C,3,FALSE)*Q72/1000,2)&amp;" кг пленки ЗАКАЗАТЬ","")</f>
        <v/>
      </c>
      <c r="W72" s="83"/>
      <c r="X72" s="68">
        <f>IFERROR(ROUND(VLOOKUP(F72,'списки и справочники'!A:C,3,FALSE)*Q72/1000,2),0)</f>
        <v>0</v>
      </c>
      <c r="Z72" s="114"/>
      <c r="AB72" s="114"/>
      <c r="AD72" s="115"/>
    </row>
    <row r="73" spans="1:30" x14ac:dyDescent="0.3">
      <c r="A73" s="19" t="s">
        <v>41</v>
      </c>
      <c r="B73" s="20" t="s">
        <v>67</v>
      </c>
      <c r="C73" s="21"/>
      <c r="D73" s="52" t="s">
        <v>74</v>
      </c>
      <c r="E73" s="21" t="s">
        <v>54</v>
      </c>
      <c r="F73" s="22">
        <v>227</v>
      </c>
      <c r="G73" s="23" t="s">
        <v>86</v>
      </c>
      <c r="H73" s="24">
        <v>60</v>
      </c>
      <c r="I73" s="25" t="s">
        <v>56</v>
      </c>
      <c r="J73" s="63">
        <v>296</v>
      </c>
      <c r="K73" s="119" t="s">
        <v>137</v>
      </c>
      <c r="L73" s="26">
        <v>4736</v>
      </c>
      <c r="M73" s="27">
        <v>8.0108999999999995</v>
      </c>
      <c r="N73" s="27">
        <v>6.9660000000000002</v>
      </c>
      <c r="O73" s="81"/>
      <c r="P73" s="64"/>
      <c r="Q73" s="39" t="str">
        <f t="shared" si="9"/>
        <v/>
      </c>
      <c r="R73" s="27">
        <f>IFERROR(IF($S$104&gt;499000,N73*Q73,M73*Q73),0)</f>
        <v>0</v>
      </c>
      <c r="S73" s="99">
        <f t="shared" si="12"/>
        <v>0</v>
      </c>
      <c r="T73" s="99">
        <f t="shared" si="13"/>
        <v>0</v>
      </c>
      <c r="V73" s="82" t="str">
        <f>IFERROR("Вам потребуется "&amp;ROUND(VLOOKUP(F73,'списки и справочники'!A:C,3,FALSE)*Q73/1000,2)&amp;" кг пленки ЗАКАЗАТЬ","")</f>
        <v/>
      </c>
      <c r="W73" s="83"/>
      <c r="X73" s="68">
        <f>IFERROR(ROUND(VLOOKUP(F73,'списки и справочники'!A:C,3,FALSE)*Q73/1000,2),0)</f>
        <v>0</v>
      </c>
      <c r="Z73" s="114"/>
      <c r="AB73" s="114"/>
      <c r="AD73" s="115"/>
    </row>
    <row r="74" spans="1:30" x14ac:dyDescent="0.3">
      <c r="A74" s="19" t="s">
        <v>43</v>
      </c>
      <c r="B74" s="20" t="s">
        <v>67</v>
      </c>
      <c r="C74" s="21"/>
      <c r="D74" s="52" t="s">
        <v>74</v>
      </c>
      <c r="E74" s="21" t="s">
        <v>54</v>
      </c>
      <c r="F74" s="22">
        <v>227</v>
      </c>
      <c r="G74" s="23" t="s">
        <v>86</v>
      </c>
      <c r="H74" s="24">
        <v>80</v>
      </c>
      <c r="I74" s="25" t="s">
        <v>55</v>
      </c>
      <c r="J74" s="63">
        <v>280</v>
      </c>
      <c r="K74" s="119" t="s">
        <v>137</v>
      </c>
      <c r="L74" s="26">
        <v>4480</v>
      </c>
      <c r="M74" s="27">
        <v>10.556999999999999</v>
      </c>
      <c r="N74" s="27">
        <v>9.18</v>
      </c>
      <c r="O74" s="81"/>
      <c r="P74" s="64"/>
      <c r="Q74" s="39" t="str">
        <f t="shared" si="9"/>
        <v/>
      </c>
      <c r="R74" s="27">
        <f>IFERROR(IF($S$104&gt;499000,N74*Q74,M74*Q74),0)</f>
        <v>0</v>
      </c>
      <c r="S74" s="99">
        <f t="shared" si="12"/>
        <v>0</v>
      </c>
      <c r="T74" s="99">
        <f t="shared" si="13"/>
        <v>0</v>
      </c>
      <c r="V74" s="82" t="str">
        <f>IFERROR("Вам потребуется "&amp;ROUND(VLOOKUP(F74,'списки и справочники'!A:C,3,FALSE)*Q74/1000,2)&amp;" кг пленки ЗАКАЗАТЬ","")</f>
        <v/>
      </c>
      <c r="W74" s="83"/>
      <c r="X74" s="68">
        <f>IFERROR(ROUND(VLOOKUP(F74,'списки и справочники'!A:C,3,FALSE)*Q74/1000,2),0)</f>
        <v>0</v>
      </c>
      <c r="Z74" s="114"/>
      <c r="AB74" s="114"/>
      <c r="AD74" s="115"/>
    </row>
    <row r="75" spans="1:30" x14ac:dyDescent="0.3">
      <c r="A75" s="42" t="s">
        <v>47</v>
      </c>
      <c r="B75" s="43" t="s">
        <v>67</v>
      </c>
      <c r="C75" s="44"/>
      <c r="D75" s="53" t="s">
        <v>74</v>
      </c>
      <c r="E75" s="44" t="s">
        <v>54</v>
      </c>
      <c r="F75" s="45">
        <v>227</v>
      </c>
      <c r="G75" s="46" t="s">
        <v>86</v>
      </c>
      <c r="H75" s="47">
        <v>80</v>
      </c>
      <c r="I75" s="48" t="s">
        <v>56</v>
      </c>
      <c r="J75" s="101">
        <v>280</v>
      </c>
      <c r="K75" s="119" t="s">
        <v>137</v>
      </c>
      <c r="L75" s="49">
        <v>4480</v>
      </c>
      <c r="M75" s="50">
        <v>10.556999999999999</v>
      </c>
      <c r="N75" s="50">
        <v>9.18</v>
      </c>
      <c r="O75" s="81"/>
      <c r="P75" s="64"/>
      <c r="Q75" s="39" t="str">
        <f t="shared" si="9"/>
        <v/>
      </c>
      <c r="R75" s="27">
        <f>IFERROR(IF($S$104&gt;499000,N75*Q75,M75*Q75),0)</f>
        <v>0</v>
      </c>
      <c r="S75" s="99">
        <f t="shared" si="12"/>
        <v>0</v>
      </c>
      <c r="T75" s="99">
        <f t="shared" si="13"/>
        <v>0</v>
      </c>
      <c r="V75" s="82" t="str">
        <f>IFERROR("Вам потребуется "&amp;ROUND(VLOOKUP(F75,'списки и справочники'!A:C,3,FALSE)*Q75/1000,2)&amp;" кг пленки ЗАКАЗАТЬ","")</f>
        <v/>
      </c>
      <c r="W75" s="83"/>
      <c r="X75" s="68">
        <f>IFERROR(ROUND(VLOOKUP(F75,'списки и справочники'!A:C,3,FALSE)*Q75/1000,2),0)</f>
        <v>0</v>
      </c>
      <c r="Z75" s="114"/>
      <c r="AB75" s="114"/>
      <c r="AD75" s="115"/>
    </row>
    <row r="76" spans="1:30" s="73" customFormat="1" ht="4.5" customHeight="1" x14ac:dyDescent="0.3">
      <c r="A76" s="28" t="s">
        <v>77</v>
      </c>
      <c r="B76" s="28"/>
      <c r="C76" s="28"/>
      <c r="D76" s="28"/>
      <c r="E76" s="28"/>
      <c r="F76" s="29"/>
      <c r="G76" s="30"/>
      <c r="H76" s="30"/>
      <c r="I76" s="28"/>
      <c r="J76" s="100"/>
      <c r="K76" s="100"/>
      <c r="L76" s="30"/>
      <c r="M76" s="31"/>
      <c r="N76" s="31"/>
      <c r="O76" s="84"/>
      <c r="P76" s="1"/>
      <c r="Q76" s="40" t="str">
        <f t="shared" ref="Q76:Q86" si="14">IF(P76*J76=0,"",P76*J76)</f>
        <v/>
      </c>
      <c r="R76" s="31"/>
      <c r="S76" s="99"/>
      <c r="T76" s="99"/>
      <c r="V76" s="82" t="str">
        <f>IFERROR("Вам потребуется "&amp;ROUND(VLOOKUP(F76,'списки и справочники'!A:C,3,FALSE)*Q76/1000,2)&amp;" кг пленки ЗАКАЗАТЬ","")</f>
        <v/>
      </c>
      <c r="W76" s="83"/>
      <c r="X76" s="68"/>
      <c r="Y76" s="7"/>
      <c r="Z76" s="114"/>
      <c r="AA76" s="7"/>
      <c r="AB76" s="114"/>
      <c r="AC76" s="86"/>
      <c r="AD76" s="115"/>
    </row>
    <row r="77" spans="1:30" x14ac:dyDescent="0.3">
      <c r="A77" s="19" t="s">
        <v>141</v>
      </c>
      <c r="B77" s="20" t="s">
        <v>151</v>
      </c>
      <c r="C77" s="21"/>
      <c r="D77" s="121" t="s">
        <v>157</v>
      </c>
      <c r="E77" s="21" t="s">
        <v>155</v>
      </c>
      <c r="F77" s="22">
        <v>120</v>
      </c>
      <c r="G77" s="23" t="s">
        <v>154</v>
      </c>
      <c r="H77" s="24">
        <v>80</v>
      </c>
      <c r="I77" s="25" t="s">
        <v>152</v>
      </c>
      <c r="J77" s="63">
        <v>5000</v>
      </c>
      <c r="K77" s="119" t="s">
        <v>138</v>
      </c>
      <c r="L77" s="26">
        <v>80000</v>
      </c>
      <c r="M77" s="27">
        <v>1.3109999999999997</v>
      </c>
      <c r="N77" s="27">
        <v>1.1399999999999999</v>
      </c>
      <c r="O77" s="81"/>
      <c r="P77" s="64"/>
      <c r="Q77" s="39" t="str">
        <f t="shared" si="14"/>
        <v/>
      </c>
      <c r="R77" s="27">
        <f>IFERROR(IF($S$104&gt;499000,N77*Q77,M77*Q77),0)</f>
        <v>0</v>
      </c>
      <c r="S77" s="99">
        <f t="shared" ref="S77:S86" si="15">IFERROR(M77*Q77,0)</f>
        <v>0</v>
      </c>
      <c r="T77" s="99">
        <f t="shared" ref="T77:T86" si="16">IFERROR(N77*Q77,0)</f>
        <v>0</v>
      </c>
      <c r="V77" s="82"/>
      <c r="W77" s="83"/>
      <c r="X77" s="68">
        <f>IFERROR(ROUND(VLOOKUP(F77,'списки и справочники'!A:C,3,FALSE)*Q77/1000,2),0)</f>
        <v>0</v>
      </c>
      <c r="Z77" s="114"/>
      <c r="AB77" s="114"/>
      <c r="AD77" s="115"/>
    </row>
    <row r="78" spans="1:30" s="86" customFormat="1" x14ac:dyDescent="0.3">
      <c r="A78" s="19" t="s">
        <v>142</v>
      </c>
      <c r="B78" s="20" t="s">
        <v>151</v>
      </c>
      <c r="C78" s="21"/>
      <c r="D78" s="121" t="s">
        <v>157</v>
      </c>
      <c r="E78" s="21" t="s">
        <v>155</v>
      </c>
      <c r="F78" s="22">
        <v>120</v>
      </c>
      <c r="G78" s="23" t="s">
        <v>154</v>
      </c>
      <c r="H78" s="24">
        <v>80</v>
      </c>
      <c r="I78" s="25" t="s">
        <v>153</v>
      </c>
      <c r="J78" s="63">
        <v>5000</v>
      </c>
      <c r="K78" s="119" t="s">
        <v>138</v>
      </c>
      <c r="L78" s="26">
        <v>80000</v>
      </c>
      <c r="M78" s="27">
        <v>1.3339999999999999</v>
      </c>
      <c r="N78" s="27">
        <v>1.1599999999999999</v>
      </c>
      <c r="O78" s="85"/>
      <c r="P78" s="64"/>
      <c r="Q78" s="39" t="str">
        <f t="shared" si="14"/>
        <v/>
      </c>
      <c r="R78" s="27">
        <f>IFERROR(IF($S$104&gt;499000,N78*Q78,M78*Q78),0)</f>
        <v>0</v>
      </c>
      <c r="S78" s="99">
        <f t="shared" si="15"/>
        <v>0</v>
      </c>
      <c r="T78" s="99">
        <f t="shared" si="16"/>
        <v>0</v>
      </c>
      <c r="V78" s="82"/>
      <c r="W78" s="83"/>
      <c r="X78" s="68">
        <f>IFERROR(ROUND(VLOOKUP(F78,'списки и справочники'!A:C,3,FALSE)*Q78/1000,2),0)</f>
        <v>0</v>
      </c>
      <c r="Y78" s="7"/>
      <c r="Z78" s="114"/>
      <c r="AA78" s="7"/>
      <c r="AB78" s="114"/>
      <c r="AD78" s="115"/>
    </row>
    <row r="79" spans="1:30" s="86" customFormat="1" x14ac:dyDescent="0.3">
      <c r="A79" s="19" t="s">
        <v>143</v>
      </c>
      <c r="B79" s="20" t="s">
        <v>151</v>
      </c>
      <c r="C79" s="21"/>
      <c r="D79" s="121" t="s">
        <v>158</v>
      </c>
      <c r="E79" s="21" t="s">
        <v>155</v>
      </c>
      <c r="F79" s="22">
        <v>120</v>
      </c>
      <c r="G79" s="23" t="s">
        <v>154</v>
      </c>
      <c r="H79" s="24">
        <v>80</v>
      </c>
      <c r="I79" s="25" t="s">
        <v>152</v>
      </c>
      <c r="J79" s="63">
        <v>5000</v>
      </c>
      <c r="K79" s="119" t="s">
        <v>138</v>
      </c>
      <c r="L79" s="26">
        <v>100000</v>
      </c>
      <c r="M79" s="27">
        <v>1.5525</v>
      </c>
      <c r="N79" s="27">
        <v>1.35</v>
      </c>
      <c r="O79" s="85"/>
      <c r="P79" s="64"/>
      <c r="Q79" s="39" t="str">
        <f t="shared" si="14"/>
        <v/>
      </c>
      <c r="R79" s="27">
        <f>IFERROR(IF($S$104&gt;499000,N79*Q79,M79*Q79),0)</f>
        <v>0</v>
      </c>
      <c r="S79" s="99">
        <f t="shared" si="15"/>
        <v>0</v>
      </c>
      <c r="T79" s="99">
        <f t="shared" si="16"/>
        <v>0</v>
      </c>
      <c r="V79" s="82"/>
      <c r="W79" s="83"/>
      <c r="X79" s="68">
        <f>IFERROR(ROUND(VLOOKUP(F79,'списки и справочники'!A:C,3,FALSE)*Q79/1000,2),0)</f>
        <v>0</v>
      </c>
      <c r="Y79" s="7"/>
      <c r="Z79" s="114"/>
      <c r="AA79" s="7"/>
      <c r="AB79" s="114"/>
      <c r="AD79" s="115"/>
    </row>
    <row r="80" spans="1:30" x14ac:dyDescent="0.3">
      <c r="A80" s="19" t="s">
        <v>144</v>
      </c>
      <c r="B80" s="20" t="s">
        <v>151</v>
      </c>
      <c r="C80" s="21"/>
      <c r="D80" s="121" t="s">
        <v>158</v>
      </c>
      <c r="E80" s="21" t="s">
        <v>155</v>
      </c>
      <c r="F80" s="22">
        <v>120</v>
      </c>
      <c r="G80" s="23" t="s">
        <v>154</v>
      </c>
      <c r="H80" s="24">
        <v>80</v>
      </c>
      <c r="I80" s="25" t="s">
        <v>153</v>
      </c>
      <c r="J80" s="63">
        <v>5000</v>
      </c>
      <c r="K80" s="119" t="s">
        <v>138</v>
      </c>
      <c r="L80" s="26">
        <v>100000</v>
      </c>
      <c r="M80" s="27">
        <v>1.5754999999999999</v>
      </c>
      <c r="N80" s="27">
        <v>1.37</v>
      </c>
      <c r="O80" s="81"/>
      <c r="P80" s="64"/>
      <c r="Q80" s="39" t="str">
        <f t="shared" si="14"/>
        <v/>
      </c>
      <c r="R80" s="27">
        <f>IFERROR(IF($S$104&gt;499000,N80*Q80,M80*Q80),0)</f>
        <v>0</v>
      </c>
      <c r="S80" s="99">
        <f t="shared" si="15"/>
        <v>0</v>
      </c>
      <c r="T80" s="99">
        <f t="shared" si="16"/>
        <v>0</v>
      </c>
      <c r="V80" s="82"/>
      <c r="W80" s="83"/>
      <c r="X80" s="68">
        <f>IFERROR(ROUND(VLOOKUP(F80,'списки и справочники'!A:C,3,FALSE)*Q80/1000,2),0)</f>
        <v>0</v>
      </c>
      <c r="Z80" s="114"/>
      <c r="AB80" s="114"/>
      <c r="AD80" s="115"/>
    </row>
    <row r="81" spans="1:30" x14ac:dyDescent="0.3">
      <c r="A81" s="19" t="s">
        <v>145</v>
      </c>
      <c r="B81" s="20" t="s">
        <v>151</v>
      </c>
      <c r="C81" s="21"/>
      <c r="D81" s="121" t="s">
        <v>159</v>
      </c>
      <c r="E81" s="21" t="s">
        <v>156</v>
      </c>
      <c r="F81" s="22">
        <v>120</v>
      </c>
      <c r="G81" s="23" t="s">
        <v>154</v>
      </c>
      <c r="H81" s="24">
        <v>80</v>
      </c>
      <c r="I81" s="25" t="s">
        <v>152</v>
      </c>
      <c r="J81" s="63">
        <v>5000</v>
      </c>
      <c r="K81" s="119" t="s">
        <v>138</v>
      </c>
      <c r="L81" s="26">
        <v>120000</v>
      </c>
      <c r="M81" s="27">
        <v>1.1615</v>
      </c>
      <c r="N81" s="27">
        <v>1.01</v>
      </c>
      <c r="O81" s="81"/>
      <c r="P81" s="64"/>
      <c r="Q81" s="39" t="str">
        <f t="shared" si="14"/>
        <v/>
      </c>
      <c r="R81" s="27">
        <f>IFERROR(IF($S$104&gt;499000,N81*Q81,M81*Q81),0)</f>
        <v>0</v>
      </c>
      <c r="S81" s="99">
        <f t="shared" si="15"/>
        <v>0</v>
      </c>
      <c r="T81" s="99">
        <f t="shared" si="16"/>
        <v>0</v>
      </c>
      <c r="V81" s="82"/>
      <c r="W81" s="83"/>
      <c r="X81" s="68">
        <f>IFERROR(ROUND(VLOOKUP(F81,'списки и справочники'!A:C,3,FALSE)*Q81/1000,2),0)</f>
        <v>0</v>
      </c>
      <c r="Z81" s="114"/>
      <c r="AB81" s="114"/>
      <c r="AD81" s="115"/>
    </row>
    <row r="82" spans="1:30" x14ac:dyDescent="0.3">
      <c r="A82" s="19" t="s">
        <v>146</v>
      </c>
      <c r="B82" s="20" t="s">
        <v>151</v>
      </c>
      <c r="C82" s="21"/>
      <c r="D82" s="121" t="s">
        <v>159</v>
      </c>
      <c r="E82" s="21" t="s">
        <v>156</v>
      </c>
      <c r="F82" s="22">
        <v>120</v>
      </c>
      <c r="G82" s="23" t="s">
        <v>154</v>
      </c>
      <c r="H82" s="24">
        <v>80</v>
      </c>
      <c r="I82" s="25" t="s">
        <v>153</v>
      </c>
      <c r="J82" s="63">
        <v>5000</v>
      </c>
      <c r="K82" s="119" t="s">
        <v>138</v>
      </c>
      <c r="L82" s="26">
        <v>120000</v>
      </c>
      <c r="M82" s="27">
        <v>1.1615</v>
      </c>
      <c r="N82" s="27">
        <v>1.01</v>
      </c>
      <c r="O82" s="81"/>
      <c r="P82" s="64"/>
      <c r="Q82" s="39" t="str">
        <f t="shared" si="14"/>
        <v/>
      </c>
      <c r="R82" s="27">
        <f>IFERROR(IF($S$104&gt;499000,N82*Q82,M82*Q82),0)</f>
        <v>0</v>
      </c>
      <c r="S82" s="99">
        <f t="shared" si="15"/>
        <v>0</v>
      </c>
      <c r="T82" s="99">
        <f t="shared" si="16"/>
        <v>0</v>
      </c>
      <c r="V82" s="82"/>
      <c r="W82" s="83"/>
      <c r="X82" s="68">
        <f>IFERROR(ROUND(VLOOKUP(F82,'списки и справочники'!A:C,3,FALSE)*Q82/1000,2),0)</f>
        <v>0</v>
      </c>
      <c r="Z82" s="114"/>
      <c r="AB82" s="114"/>
      <c r="AD82" s="115"/>
    </row>
    <row r="83" spans="1:30" x14ac:dyDescent="0.3">
      <c r="A83" s="19" t="s">
        <v>147</v>
      </c>
      <c r="B83" s="20" t="s">
        <v>151</v>
      </c>
      <c r="C83" s="21"/>
      <c r="D83" s="121" t="s">
        <v>160</v>
      </c>
      <c r="E83" s="21" t="s">
        <v>156</v>
      </c>
      <c r="F83" s="22">
        <v>120</v>
      </c>
      <c r="G83" s="23" t="s">
        <v>154</v>
      </c>
      <c r="H83" s="24">
        <v>80</v>
      </c>
      <c r="I83" s="25" t="s">
        <v>152</v>
      </c>
      <c r="J83" s="63">
        <v>5000</v>
      </c>
      <c r="K83" s="119" t="s">
        <v>138</v>
      </c>
      <c r="L83" s="26">
        <v>100000</v>
      </c>
      <c r="M83" s="27">
        <v>1.2649999999999999</v>
      </c>
      <c r="N83" s="27">
        <v>1.1000000000000001</v>
      </c>
      <c r="O83" s="81"/>
      <c r="P83" s="64"/>
      <c r="Q83" s="39" t="str">
        <f t="shared" si="14"/>
        <v/>
      </c>
      <c r="R83" s="27">
        <f>IFERROR(IF($S$104&gt;499000,N83*Q83,M83*Q83),0)</f>
        <v>0</v>
      </c>
      <c r="S83" s="99">
        <f t="shared" si="15"/>
        <v>0</v>
      </c>
      <c r="T83" s="99">
        <f t="shared" si="16"/>
        <v>0</v>
      </c>
      <c r="V83" s="82"/>
      <c r="W83" s="83"/>
      <c r="X83" s="68">
        <f>IFERROR(ROUND(VLOOKUP(F83,'списки и справочники'!A:C,3,FALSE)*Q83/1000,2),0)</f>
        <v>0</v>
      </c>
      <c r="Z83" s="114"/>
      <c r="AB83" s="114"/>
      <c r="AD83" s="115"/>
    </row>
    <row r="84" spans="1:30" x14ac:dyDescent="0.3">
      <c r="A84" s="19" t="s">
        <v>148</v>
      </c>
      <c r="B84" s="20" t="s">
        <v>151</v>
      </c>
      <c r="C84" s="21"/>
      <c r="D84" s="121" t="s">
        <v>160</v>
      </c>
      <c r="E84" s="21" t="s">
        <v>156</v>
      </c>
      <c r="F84" s="22">
        <v>120</v>
      </c>
      <c r="G84" s="23" t="s">
        <v>154</v>
      </c>
      <c r="H84" s="24">
        <v>80</v>
      </c>
      <c r="I84" s="25" t="s">
        <v>153</v>
      </c>
      <c r="J84" s="63">
        <v>4000</v>
      </c>
      <c r="K84" s="119" t="s">
        <v>138</v>
      </c>
      <c r="L84" s="26">
        <v>96000</v>
      </c>
      <c r="M84" s="27">
        <v>1.2649999999999999</v>
      </c>
      <c r="N84" s="27">
        <v>1.1000000000000001</v>
      </c>
      <c r="O84" s="81"/>
      <c r="P84" s="64"/>
      <c r="Q84" s="39" t="str">
        <f t="shared" si="14"/>
        <v/>
      </c>
      <c r="R84" s="27">
        <f>IFERROR(IF($S$104&gt;499000,N84*Q84,M84*Q84),0)</f>
        <v>0</v>
      </c>
      <c r="S84" s="99">
        <f t="shared" si="15"/>
        <v>0</v>
      </c>
      <c r="T84" s="99">
        <f t="shared" si="16"/>
        <v>0</v>
      </c>
      <c r="V84" s="82"/>
      <c r="W84" s="83"/>
      <c r="X84" s="68">
        <f>IFERROR(ROUND(VLOOKUP(F84,'списки и справочники'!A:C,3,FALSE)*Q84/1000,2),0)</f>
        <v>0</v>
      </c>
      <c r="Z84" s="114"/>
      <c r="AB84" s="114"/>
      <c r="AD84" s="115"/>
    </row>
    <row r="85" spans="1:30" x14ac:dyDescent="0.3">
      <c r="A85" s="19" t="s">
        <v>149</v>
      </c>
      <c r="B85" s="20" t="s">
        <v>151</v>
      </c>
      <c r="C85" s="21"/>
      <c r="D85" s="121" t="s">
        <v>158</v>
      </c>
      <c r="E85" s="21" t="s">
        <v>156</v>
      </c>
      <c r="F85" s="22">
        <v>120</v>
      </c>
      <c r="G85" s="23" t="s">
        <v>154</v>
      </c>
      <c r="H85" s="24">
        <v>80</v>
      </c>
      <c r="I85" s="25" t="s">
        <v>152</v>
      </c>
      <c r="J85" s="63">
        <v>4000</v>
      </c>
      <c r="K85" s="119" t="s">
        <v>138</v>
      </c>
      <c r="L85" s="26">
        <v>96000</v>
      </c>
      <c r="M85" s="27">
        <v>1.5525</v>
      </c>
      <c r="N85" s="27">
        <v>1.35</v>
      </c>
      <c r="O85" s="81"/>
      <c r="P85" s="64"/>
      <c r="Q85" s="39" t="str">
        <f t="shared" si="14"/>
        <v/>
      </c>
      <c r="R85" s="27">
        <f>IFERROR(IF($S$104&gt;499000,N85*Q85,M85*Q85),0)</f>
        <v>0</v>
      </c>
      <c r="S85" s="99">
        <f t="shared" si="15"/>
        <v>0</v>
      </c>
      <c r="T85" s="99">
        <f t="shared" si="16"/>
        <v>0</v>
      </c>
      <c r="V85" s="82"/>
      <c r="W85" s="83"/>
      <c r="X85" s="68">
        <f>IFERROR(ROUND(VLOOKUP(F85,'списки и справочники'!A:C,3,FALSE)*Q85/1000,2),0)</f>
        <v>0</v>
      </c>
      <c r="Z85" s="114"/>
      <c r="AB85" s="114"/>
      <c r="AD85" s="115"/>
    </row>
    <row r="86" spans="1:30" ht="15" thickBot="1" x14ac:dyDescent="0.35">
      <c r="A86" s="42" t="s">
        <v>150</v>
      </c>
      <c r="B86" s="20" t="s">
        <v>151</v>
      </c>
      <c r="C86" s="44"/>
      <c r="D86" s="121" t="s">
        <v>158</v>
      </c>
      <c r="E86" s="44" t="s">
        <v>156</v>
      </c>
      <c r="F86" s="45">
        <v>120</v>
      </c>
      <c r="G86" s="23" t="s">
        <v>154</v>
      </c>
      <c r="H86" s="24">
        <v>80</v>
      </c>
      <c r="I86" s="48" t="s">
        <v>153</v>
      </c>
      <c r="J86" s="101">
        <v>4000</v>
      </c>
      <c r="K86" s="119" t="s">
        <v>138</v>
      </c>
      <c r="L86" s="26">
        <v>96000</v>
      </c>
      <c r="M86" s="50">
        <v>1.5525</v>
      </c>
      <c r="N86" s="50">
        <v>1.35</v>
      </c>
      <c r="O86" s="81"/>
      <c r="P86" s="64"/>
      <c r="Q86" s="39" t="str">
        <f t="shared" si="14"/>
        <v/>
      </c>
      <c r="R86" s="27">
        <f>IFERROR(IF($S$104&gt;499000,N86*Q86,M86*Q86),0)</f>
        <v>0</v>
      </c>
      <c r="S86" s="99">
        <f t="shared" si="15"/>
        <v>0</v>
      </c>
      <c r="T86" s="99">
        <f t="shared" si="16"/>
        <v>0</v>
      </c>
      <c r="V86" s="82"/>
      <c r="W86" s="83"/>
      <c r="X86" s="68">
        <f>IFERROR(ROUND(VLOOKUP(F86,'списки и справочники'!A:C,3,FALSE)*Q86/1000,2),0)</f>
        <v>0</v>
      </c>
      <c r="Z86" s="114"/>
      <c r="AB86" s="114"/>
      <c r="AD86" s="115"/>
    </row>
    <row r="87" spans="1:30" s="88" customFormat="1" ht="24.75" customHeight="1" thickBot="1" x14ac:dyDescent="0.35">
      <c r="A87" s="126" t="s">
        <v>127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71"/>
      <c r="P87" s="87">
        <f>SUM(P11:P75)</f>
        <v>0</v>
      </c>
      <c r="Q87" s="41">
        <f>SUM(Q11:Q75)</f>
        <v>0</v>
      </c>
      <c r="R87" s="106">
        <f>ROUND(SUM(R11:R86),2)</f>
        <v>0</v>
      </c>
      <c r="S87" s="98">
        <f>SUM(S11:S86)</f>
        <v>0</v>
      </c>
      <c r="T87" s="98">
        <f>SUM(T11:T86)</f>
        <v>0</v>
      </c>
      <c r="V87" s="120" t="str">
        <f>"Итого Вам требуется "&amp;X87&amp;" кг пленки"</f>
        <v>Итого Вам требуется 0 кг пленки</v>
      </c>
      <c r="W87" s="89"/>
      <c r="X87" s="90">
        <f>SUM(X11:X75)</f>
        <v>0</v>
      </c>
      <c r="Z87" s="112"/>
      <c r="AB87" s="112"/>
      <c r="AC87" s="112"/>
    </row>
    <row r="88" spans="1:30" ht="9" customHeight="1" thickBot="1" x14ac:dyDescent="0.35">
      <c r="A88" s="57"/>
      <c r="B88" s="58"/>
      <c r="C88" s="58"/>
      <c r="D88" s="58"/>
      <c r="E88" s="58"/>
      <c r="F88" s="59"/>
      <c r="G88" s="59" t="s">
        <v>77</v>
      </c>
      <c r="H88" s="60"/>
      <c r="I88" s="58"/>
      <c r="J88" s="59"/>
      <c r="K88" s="59"/>
      <c r="L88" s="59"/>
      <c r="M88" s="61"/>
      <c r="N88" s="61"/>
      <c r="O88" s="91"/>
      <c r="P88" s="92"/>
      <c r="Q88" s="62"/>
      <c r="R88" s="107"/>
    </row>
    <row r="89" spans="1:30" ht="40.200000000000003" thickBot="1" x14ac:dyDescent="0.35">
      <c r="A89" s="12" t="s">
        <v>53</v>
      </c>
      <c r="B89" s="13" t="s">
        <v>65</v>
      </c>
      <c r="C89" s="14"/>
      <c r="D89" s="14" t="s">
        <v>109</v>
      </c>
      <c r="E89" s="35" t="s">
        <v>95</v>
      </c>
      <c r="F89" s="14"/>
      <c r="G89" s="14" t="s">
        <v>64</v>
      </c>
      <c r="H89" s="14"/>
      <c r="I89" s="17" t="s">
        <v>59</v>
      </c>
      <c r="J89" s="18" t="s">
        <v>124</v>
      </c>
      <c r="K89" s="116"/>
      <c r="L89" s="9"/>
      <c r="M89" s="4" t="s">
        <v>132</v>
      </c>
      <c r="N89" s="4" t="s">
        <v>133</v>
      </c>
      <c r="O89" s="8"/>
      <c r="P89" s="72" t="s">
        <v>125</v>
      </c>
      <c r="Q89" s="16" t="s">
        <v>96</v>
      </c>
      <c r="R89" s="104" t="s">
        <v>108</v>
      </c>
      <c r="S89" s="98"/>
      <c r="T89" s="98"/>
      <c r="U89" s="66"/>
      <c r="V89" s="36"/>
      <c r="W89" s="36"/>
      <c r="X89" s="2"/>
      <c r="AA89" s="67"/>
    </row>
    <row r="90" spans="1:30" ht="2.25" customHeight="1" x14ac:dyDescent="0.3">
      <c r="A90" s="76"/>
      <c r="B90" s="76"/>
      <c r="C90" s="76"/>
      <c r="D90" s="76"/>
      <c r="E90" s="76"/>
      <c r="F90" s="76"/>
      <c r="G90" s="77" t="s">
        <v>77</v>
      </c>
      <c r="H90" s="77"/>
      <c r="I90" s="76"/>
      <c r="J90" s="77"/>
      <c r="K90" s="118"/>
      <c r="L90" s="9"/>
      <c r="M90" s="78"/>
      <c r="N90" s="78"/>
      <c r="O90" s="8"/>
      <c r="P90" s="54"/>
      <c r="Q90" s="55"/>
      <c r="R90" s="105"/>
      <c r="S90" s="103"/>
      <c r="T90" s="103"/>
      <c r="U90" s="66"/>
      <c r="V90" s="36"/>
      <c r="W90" s="36"/>
      <c r="X90" s="2"/>
      <c r="AA90" s="67"/>
    </row>
    <row r="91" spans="1:30" x14ac:dyDescent="0.3">
      <c r="A91" s="33" t="s">
        <v>113</v>
      </c>
      <c r="B91" s="20" t="s">
        <v>110</v>
      </c>
      <c r="C91" s="21"/>
      <c r="D91" s="21" t="s">
        <v>111</v>
      </c>
      <c r="E91" s="21" t="s">
        <v>114</v>
      </c>
      <c r="F91" s="21"/>
      <c r="G91" s="23">
        <v>150</v>
      </c>
      <c r="H91" s="23"/>
      <c r="I91" s="25" t="s">
        <v>112</v>
      </c>
      <c r="J91" s="102">
        <v>1.5</v>
      </c>
      <c r="K91" s="117"/>
      <c r="L91" s="9"/>
      <c r="M91" s="27">
        <v>500</v>
      </c>
      <c r="N91" s="27">
        <v>485</v>
      </c>
      <c r="O91" s="8"/>
      <c r="P91" s="93"/>
      <c r="Q91" s="63">
        <f t="shared" ref="Q91:Q101" si="17">ROUNDUP(P91/J91,0)</f>
        <v>0</v>
      </c>
      <c r="R91" s="27">
        <f>IFERROR(IF($S$104&gt;499000,Q91*J91*N91*$S$6,Q91*J91*M91*$S$6),0)</f>
        <v>0</v>
      </c>
      <c r="S91" s="99">
        <f>IFERROR(M91*Q91*J91*$P$6,0)</f>
        <v>0</v>
      </c>
      <c r="T91" s="99">
        <f>IFERROR(N91*Q91*J91*$P$6,0)</f>
        <v>0</v>
      </c>
      <c r="U91" s="66"/>
      <c r="V91" s="36"/>
      <c r="W91" s="36"/>
      <c r="X91" s="2"/>
      <c r="AA91" s="67"/>
    </row>
    <row r="92" spans="1:30" x14ac:dyDescent="0.3">
      <c r="A92" s="33" t="s">
        <v>115</v>
      </c>
      <c r="B92" s="20" t="s">
        <v>110</v>
      </c>
      <c r="C92" s="21"/>
      <c r="D92" s="21" t="s">
        <v>111</v>
      </c>
      <c r="E92" s="21" t="s">
        <v>114</v>
      </c>
      <c r="F92" s="21"/>
      <c r="G92" s="23">
        <v>190</v>
      </c>
      <c r="H92" s="23"/>
      <c r="I92" s="25" t="s">
        <v>112</v>
      </c>
      <c r="J92" s="102">
        <v>1.5</v>
      </c>
      <c r="K92" s="117"/>
      <c r="L92" s="9"/>
      <c r="M92" s="27">
        <v>500</v>
      </c>
      <c r="N92" s="27">
        <v>485</v>
      </c>
      <c r="O92" s="8"/>
      <c r="P92" s="93"/>
      <c r="Q92" s="63">
        <f t="shared" si="17"/>
        <v>0</v>
      </c>
      <c r="R92" s="27">
        <f>IFERROR(IF($S$104&gt;499000,Q92*J92*N92*$S$6,Q92*J92*M92*$S$6),0)</f>
        <v>0</v>
      </c>
      <c r="S92" s="99">
        <f t="shared" ref="S92:S101" si="18">IFERROR(M92*Q92*J92*$P$6,0)</f>
        <v>0</v>
      </c>
      <c r="T92" s="99">
        <f t="shared" ref="T92:T101" si="19">IFERROR(N92*Q92*J92*$P$6,0)</f>
        <v>0</v>
      </c>
      <c r="U92" s="66"/>
      <c r="V92" s="36"/>
      <c r="W92" s="36"/>
      <c r="X92" s="2"/>
      <c r="AA92" s="67"/>
    </row>
    <row r="93" spans="1:30" x14ac:dyDescent="0.3">
      <c r="A93" s="33" t="s">
        <v>116</v>
      </c>
      <c r="B93" s="20" t="s">
        <v>110</v>
      </c>
      <c r="C93" s="21"/>
      <c r="D93" s="21" t="s">
        <v>111</v>
      </c>
      <c r="E93" s="21" t="s">
        <v>114</v>
      </c>
      <c r="F93" s="21"/>
      <c r="G93" s="23">
        <v>260</v>
      </c>
      <c r="H93" s="23"/>
      <c r="I93" s="25" t="s">
        <v>112</v>
      </c>
      <c r="J93" s="102">
        <v>3</v>
      </c>
      <c r="K93" s="117"/>
      <c r="L93" s="9"/>
      <c r="M93" s="27">
        <v>500</v>
      </c>
      <c r="N93" s="27">
        <v>485</v>
      </c>
      <c r="O93" s="8"/>
      <c r="P93" s="93"/>
      <c r="Q93" s="63">
        <f t="shared" si="17"/>
        <v>0</v>
      </c>
      <c r="R93" s="27">
        <f>IFERROR(IF($S$104&gt;499000,Q93*J93*N93*$S$6,Q93*J93*M93*$S$6),0)</f>
        <v>0</v>
      </c>
      <c r="S93" s="99">
        <f t="shared" si="18"/>
        <v>0</v>
      </c>
      <c r="T93" s="99">
        <f t="shared" si="19"/>
        <v>0</v>
      </c>
      <c r="U93" s="66"/>
      <c r="V93" s="36"/>
      <c r="W93" s="36"/>
      <c r="X93" s="2"/>
      <c r="AA93" s="67"/>
    </row>
    <row r="94" spans="1:30" x14ac:dyDescent="0.3">
      <c r="A94" s="33" t="s">
        <v>117</v>
      </c>
      <c r="B94" s="20" t="s">
        <v>110</v>
      </c>
      <c r="C94" s="21"/>
      <c r="D94" s="21" t="s">
        <v>111</v>
      </c>
      <c r="E94" s="21" t="s">
        <v>114</v>
      </c>
      <c r="F94" s="21"/>
      <c r="G94" s="23">
        <v>320</v>
      </c>
      <c r="H94" s="23"/>
      <c r="I94" s="25" t="s">
        <v>112</v>
      </c>
      <c r="J94" s="102">
        <v>4.2</v>
      </c>
      <c r="K94" s="117"/>
      <c r="L94" s="9"/>
      <c r="M94" s="27">
        <v>500</v>
      </c>
      <c r="N94" s="27">
        <v>485</v>
      </c>
      <c r="O94" s="8"/>
      <c r="P94" s="93"/>
      <c r="Q94" s="63">
        <f t="shared" si="17"/>
        <v>0</v>
      </c>
      <c r="R94" s="27">
        <f>IFERROR(IF($S$104&gt;499000,Q94*J94*N94*$S$6,Q94*J94*M94*$S$6),0)</f>
        <v>0</v>
      </c>
      <c r="S94" s="99">
        <f t="shared" si="18"/>
        <v>0</v>
      </c>
      <c r="T94" s="99">
        <f t="shared" si="19"/>
        <v>0</v>
      </c>
      <c r="U94" s="66"/>
      <c r="V94" s="36"/>
      <c r="W94" s="36"/>
      <c r="X94" s="2"/>
      <c r="AA94" s="67"/>
    </row>
    <row r="95" spans="1:30" x14ac:dyDescent="0.3">
      <c r="A95" s="33" t="s">
        <v>140</v>
      </c>
      <c r="B95" s="20" t="s">
        <v>110</v>
      </c>
      <c r="C95" s="21"/>
      <c r="D95" s="21" t="s">
        <v>111</v>
      </c>
      <c r="E95" s="21" t="s">
        <v>114</v>
      </c>
      <c r="F95" s="21"/>
      <c r="G95" s="23">
        <v>350</v>
      </c>
      <c r="H95" s="23"/>
      <c r="I95" s="25" t="s">
        <v>112</v>
      </c>
      <c r="J95" s="102">
        <v>3.8</v>
      </c>
      <c r="K95" s="117"/>
      <c r="L95" s="9"/>
      <c r="M95" s="27">
        <v>500</v>
      </c>
      <c r="N95" s="27">
        <v>485</v>
      </c>
      <c r="O95" s="8"/>
      <c r="P95" s="93"/>
      <c r="Q95" s="63">
        <f t="shared" si="17"/>
        <v>0</v>
      </c>
      <c r="R95" s="27">
        <f>IFERROR(IF($S$104&gt;499000,Q95*J95*N95*$S$6,Q95*J95*M95*$S$6),0)</f>
        <v>0</v>
      </c>
      <c r="S95" s="99">
        <f t="shared" si="18"/>
        <v>0</v>
      </c>
      <c r="T95" s="99">
        <f t="shared" si="19"/>
        <v>0</v>
      </c>
      <c r="U95" s="66"/>
      <c r="V95" s="36"/>
      <c r="W95" s="36"/>
      <c r="X95" s="2"/>
      <c r="AA95" s="67"/>
    </row>
    <row r="96" spans="1:30" x14ac:dyDescent="0.3">
      <c r="A96" s="33" t="s">
        <v>118</v>
      </c>
      <c r="B96" s="20" t="s">
        <v>110</v>
      </c>
      <c r="C96" s="21"/>
      <c r="D96" s="21" t="s">
        <v>111</v>
      </c>
      <c r="E96" s="21" t="s">
        <v>114</v>
      </c>
      <c r="F96" s="21"/>
      <c r="G96" s="23">
        <v>370</v>
      </c>
      <c r="H96" s="23"/>
      <c r="I96" s="25" t="s">
        <v>112</v>
      </c>
      <c r="J96" s="102">
        <v>4.0999999999999996</v>
      </c>
      <c r="K96" s="117"/>
      <c r="L96" s="9"/>
      <c r="M96" s="27">
        <v>500</v>
      </c>
      <c r="N96" s="27">
        <v>485</v>
      </c>
      <c r="O96" s="8"/>
      <c r="P96" s="93"/>
      <c r="Q96" s="63">
        <f t="shared" si="17"/>
        <v>0</v>
      </c>
      <c r="R96" s="27">
        <f>IFERROR(IF($S$104&gt;499000,Q96*J96*N96*$S$6,Q96*J96*M96*$S$6),0)</f>
        <v>0</v>
      </c>
      <c r="S96" s="99">
        <f t="shared" si="18"/>
        <v>0</v>
      </c>
      <c r="T96" s="99">
        <f t="shared" si="19"/>
        <v>0</v>
      </c>
      <c r="U96" s="66"/>
      <c r="V96" s="36"/>
      <c r="W96" s="36"/>
      <c r="X96" s="2"/>
      <c r="AA96" s="67"/>
    </row>
    <row r="97" spans="1:29" x14ac:dyDescent="0.3">
      <c r="A97" s="33" t="s">
        <v>119</v>
      </c>
      <c r="B97" s="20" t="s">
        <v>110</v>
      </c>
      <c r="C97" s="21"/>
      <c r="D97" s="21" t="s">
        <v>111</v>
      </c>
      <c r="E97" s="21" t="s">
        <v>114</v>
      </c>
      <c r="F97" s="21"/>
      <c r="G97" s="23">
        <v>380</v>
      </c>
      <c r="H97" s="23"/>
      <c r="I97" s="25" t="s">
        <v>112</v>
      </c>
      <c r="J97" s="102">
        <v>4</v>
      </c>
      <c r="K97" s="117"/>
      <c r="L97" s="9"/>
      <c r="M97" s="27">
        <v>500</v>
      </c>
      <c r="N97" s="27">
        <v>485</v>
      </c>
      <c r="O97" s="8"/>
      <c r="P97" s="93"/>
      <c r="Q97" s="63">
        <f t="shared" si="17"/>
        <v>0</v>
      </c>
      <c r="R97" s="27">
        <f>IFERROR(IF($S$104&gt;499000,Q97*J97*N97*$S$6,Q97*J97*M97*$S$6),0)</f>
        <v>0</v>
      </c>
      <c r="S97" s="99">
        <f t="shared" si="18"/>
        <v>0</v>
      </c>
      <c r="T97" s="99">
        <f t="shared" si="19"/>
        <v>0</v>
      </c>
      <c r="U97" s="66"/>
      <c r="V97" s="36"/>
      <c r="W97" s="36"/>
      <c r="X97" s="2"/>
      <c r="AA97" s="67"/>
    </row>
    <row r="98" spans="1:29" x14ac:dyDescent="0.3">
      <c r="A98" s="33" t="s">
        <v>120</v>
      </c>
      <c r="B98" s="20" t="s">
        <v>110</v>
      </c>
      <c r="C98" s="21"/>
      <c r="D98" s="21" t="s">
        <v>111</v>
      </c>
      <c r="E98" s="21" t="s">
        <v>114</v>
      </c>
      <c r="F98" s="21"/>
      <c r="G98" s="23">
        <v>420</v>
      </c>
      <c r="H98" s="23"/>
      <c r="I98" s="25" t="s">
        <v>112</v>
      </c>
      <c r="J98" s="102">
        <v>4.8</v>
      </c>
      <c r="K98" s="117"/>
      <c r="L98" s="9"/>
      <c r="M98" s="27">
        <v>500</v>
      </c>
      <c r="N98" s="27">
        <v>485</v>
      </c>
      <c r="O98" s="8"/>
      <c r="P98" s="93"/>
      <c r="Q98" s="63">
        <f t="shared" si="17"/>
        <v>0</v>
      </c>
      <c r="R98" s="27">
        <f>IFERROR(IF($S$104&gt;499000,Q98*J98*N98*$S$6,Q98*J98*M98*$S$6),0)</f>
        <v>0</v>
      </c>
      <c r="S98" s="99">
        <f t="shared" si="18"/>
        <v>0</v>
      </c>
      <c r="T98" s="99">
        <f t="shared" si="19"/>
        <v>0</v>
      </c>
      <c r="U98" s="66"/>
      <c r="V98" s="36"/>
      <c r="W98" s="36"/>
      <c r="X98" s="2"/>
      <c r="AA98" s="67"/>
    </row>
    <row r="99" spans="1:29" x14ac:dyDescent="0.3">
      <c r="A99" s="33" t="s">
        <v>121</v>
      </c>
      <c r="B99" s="20" t="s">
        <v>110</v>
      </c>
      <c r="C99" s="21"/>
      <c r="D99" s="21" t="s">
        <v>111</v>
      </c>
      <c r="E99" s="21" t="s">
        <v>114</v>
      </c>
      <c r="F99" s="21"/>
      <c r="G99" s="23">
        <v>430</v>
      </c>
      <c r="H99" s="23"/>
      <c r="I99" s="25" t="s">
        <v>112</v>
      </c>
      <c r="J99" s="102">
        <v>4.9000000000000004</v>
      </c>
      <c r="K99" s="117"/>
      <c r="L99" s="9"/>
      <c r="M99" s="27">
        <v>500</v>
      </c>
      <c r="N99" s="27">
        <v>485</v>
      </c>
      <c r="O99" s="8"/>
      <c r="P99" s="93"/>
      <c r="Q99" s="63">
        <f t="shared" si="17"/>
        <v>0</v>
      </c>
      <c r="R99" s="27">
        <f>IFERROR(IF($S$104&gt;499000,Q99*J99*N99*$S$6,Q99*J99*M99*$S$6),0)</f>
        <v>0</v>
      </c>
      <c r="S99" s="99">
        <f t="shared" si="18"/>
        <v>0</v>
      </c>
      <c r="T99" s="99">
        <f t="shared" si="19"/>
        <v>0</v>
      </c>
      <c r="U99" s="66"/>
      <c r="V99" s="36"/>
      <c r="W99" s="36"/>
      <c r="X99" s="2"/>
      <c r="AA99" s="67"/>
    </row>
    <row r="100" spans="1:29" x14ac:dyDescent="0.3">
      <c r="A100" s="33" t="s">
        <v>122</v>
      </c>
      <c r="B100" s="20" t="s">
        <v>110</v>
      </c>
      <c r="C100" s="21"/>
      <c r="D100" s="21" t="s">
        <v>111</v>
      </c>
      <c r="E100" s="21" t="s">
        <v>114</v>
      </c>
      <c r="F100" s="21"/>
      <c r="G100" s="23">
        <v>450</v>
      </c>
      <c r="H100" s="23"/>
      <c r="I100" s="25" t="s">
        <v>112</v>
      </c>
      <c r="J100" s="102">
        <v>4.9000000000000004</v>
      </c>
      <c r="K100" s="117"/>
      <c r="L100" s="9"/>
      <c r="M100" s="27">
        <v>500</v>
      </c>
      <c r="N100" s="27">
        <v>485</v>
      </c>
      <c r="O100" s="8"/>
      <c r="P100" s="93"/>
      <c r="Q100" s="63">
        <f t="shared" si="17"/>
        <v>0</v>
      </c>
      <c r="R100" s="27">
        <f>IFERROR(IF($S$104&gt;499000,Q100*J100*N100*$S$6,Q100*J100*M100*$S$6),0)</f>
        <v>0</v>
      </c>
      <c r="S100" s="99">
        <f t="shared" si="18"/>
        <v>0</v>
      </c>
      <c r="T100" s="99">
        <f t="shared" si="19"/>
        <v>0</v>
      </c>
      <c r="U100" s="66"/>
      <c r="V100" s="36"/>
      <c r="W100" s="36"/>
      <c r="X100" s="2"/>
      <c r="AA100" s="67"/>
    </row>
    <row r="101" spans="1:29" ht="15" thickBot="1" x14ac:dyDescent="0.35">
      <c r="A101" s="33" t="s">
        <v>123</v>
      </c>
      <c r="B101" s="20" t="s">
        <v>110</v>
      </c>
      <c r="C101" s="21"/>
      <c r="D101" s="21" t="s">
        <v>111</v>
      </c>
      <c r="E101" s="21" t="s">
        <v>114</v>
      </c>
      <c r="F101" s="21"/>
      <c r="G101" s="23">
        <v>470</v>
      </c>
      <c r="H101" s="23"/>
      <c r="I101" s="25" t="s">
        <v>112</v>
      </c>
      <c r="J101" s="102">
        <v>5.0999999999999996</v>
      </c>
      <c r="K101" s="117"/>
      <c r="L101" s="9"/>
      <c r="M101" s="27">
        <v>500</v>
      </c>
      <c r="N101" s="27">
        <v>485</v>
      </c>
      <c r="O101" s="8"/>
      <c r="P101" s="93"/>
      <c r="Q101" s="63">
        <f t="shared" si="17"/>
        <v>0</v>
      </c>
      <c r="R101" s="27">
        <f>IFERROR(IF($S$104&gt;499000,Q101*J101*N101*$S$6,Q101*J101*M101*$S$6),0)</f>
        <v>0</v>
      </c>
      <c r="S101" s="99">
        <f t="shared" si="18"/>
        <v>0</v>
      </c>
      <c r="T101" s="99">
        <f t="shared" si="19"/>
        <v>0</v>
      </c>
      <c r="U101" s="66"/>
      <c r="V101" s="36"/>
      <c r="W101" s="36"/>
      <c r="X101" s="2"/>
      <c r="AA101" s="67"/>
    </row>
    <row r="102" spans="1:29" s="88" customFormat="1" ht="20.25" customHeight="1" thickBot="1" x14ac:dyDescent="0.35">
      <c r="A102" s="126" t="s">
        <v>128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8"/>
      <c r="O102" s="71"/>
      <c r="P102" s="87">
        <f>SUM(P91:P101)</f>
        <v>0</v>
      </c>
      <c r="Q102" s="41">
        <f>SUM(Q91:Q101)</f>
        <v>0</v>
      </c>
      <c r="R102" s="5">
        <f>ROUND(SUM(R91:R101),2)</f>
        <v>0</v>
      </c>
      <c r="S102" s="98">
        <f>SUM(S91:S101)</f>
        <v>0</v>
      </c>
      <c r="T102" s="98">
        <f>SUM(T91:T101)</f>
        <v>0</v>
      </c>
      <c r="V102" s="89"/>
      <c r="W102" s="89"/>
      <c r="X102" s="90"/>
      <c r="Z102" s="112"/>
      <c r="AB102" s="112"/>
      <c r="AC102" s="112"/>
    </row>
    <row r="103" spans="1:29" ht="15" thickBot="1" x14ac:dyDescent="0.35"/>
    <row r="104" spans="1:29" s="88" customFormat="1" ht="20.25" customHeight="1" thickBot="1" x14ac:dyDescent="0.35">
      <c r="A104" s="126" t="s">
        <v>129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8"/>
      <c r="O104" s="71"/>
      <c r="P104" s="122">
        <f>IF(S104&gt;499000,T104,S104)</f>
        <v>0</v>
      </c>
      <c r="Q104" s="123"/>
      <c r="R104" s="124"/>
      <c r="S104" s="98">
        <f>S87+S102</f>
        <v>0</v>
      </c>
      <c r="T104" s="98">
        <f>T87+T102</f>
        <v>0</v>
      </c>
      <c r="V104" s="89"/>
      <c r="W104" s="89"/>
      <c r="X104" s="90"/>
      <c r="Z104" s="112"/>
      <c r="AB104" s="112"/>
      <c r="AC104" s="112"/>
    </row>
  </sheetData>
  <sheetProtection algorithmName="SHA-512" hashValue="xAb3qP3x/ZLVLtFfudEuRPqBVT9ZoVlYipR3RSD0wqa3Zgik+2wGFKj8l7no6b21DyBGFBA2Ztmp8WbMG7bdUg==" saltValue="kE3ovMVKbADfmdKjV7Xa8A==" spinCount="100000" sheet="1" autoFilter="0"/>
  <autoFilter ref="A10:Y102" xr:uid="{279C586F-8AE5-41A4-9CE1-F946836D5459}"/>
  <sortState xmlns:xlrd2="http://schemas.microsoft.com/office/spreadsheetml/2017/richdata2" ref="A11:M75">
    <sortCondition ref="F11:F75"/>
    <sortCondition ref="H11:H75"/>
    <sortCondition ref="I11:I75"/>
  </sortState>
  <mergeCells count="5">
    <mergeCell ref="P104:R104"/>
    <mergeCell ref="C7:I7"/>
    <mergeCell ref="A87:N87"/>
    <mergeCell ref="A102:N102"/>
    <mergeCell ref="A104:N104"/>
  </mergeCells>
  <hyperlinks>
    <hyperlink ref="M4" r:id="rId1" xr:uid="{9EE0C0C1-35B2-485A-AF24-A707313C81D4}"/>
    <hyperlink ref="M6" r:id="rId2" xr:uid="{387A501D-6718-490D-81EE-8D4FA93E8FBA}"/>
    <hyperlink ref="V11:V12" location="'ГЕОРГ ПОЛИМЕР'!P91" display="'ГЕОРГ ПОЛИМЕР'!P91" xr:uid="{568F00BC-65D2-47B3-9B1F-F4E3CFDBA0A3}"/>
    <hyperlink ref="V15:V17" location="'ГЕОРГ ПОЛИМЕР'!P91" display="'ГЕОРГ ПОЛИМЕР'!P91" xr:uid="{876D76F1-A81D-4971-8846-DD28125D9214}"/>
    <hyperlink ref="V19:V22" location="'ГЕОРГ ПОЛИМЕР'!P91" display="'ГЕОРГ ПОЛИМЕР'!P91" xr:uid="{1FC5E037-834D-47DB-9166-4C739FBD4DB4}"/>
    <hyperlink ref="V25:V43" location="'ГЕОРГ ПОЛИМЕР'!P91" display="'ГЕОРГ ПОЛИМЕР'!P91" xr:uid="{1068D211-0CC3-4B9E-A6DE-7746B2E9F18F}"/>
    <hyperlink ref="V45:V58" location="'ГЕОРГ ПОЛИМЕР'!P91" display="'ГЕОРГ ПОЛИМЕР'!P91" xr:uid="{4F0B0B91-47F2-4F5C-AE1F-9E430F793075}"/>
    <hyperlink ref="V61" location="'ГЕОРГ ПОЛИМЕР'!P91" display="'ГЕОРГ ПОЛИМЕР'!P91" xr:uid="{71DEA22B-5903-4ECC-A03E-320804FA04E8}"/>
    <hyperlink ref="V63:V64" location="'ГЕОРГ ПОЛИМЕР'!P91" display="'ГЕОРГ ПОЛИМЕР'!P91" xr:uid="{E4D9B74A-0C12-4CEE-A9B2-44A5ED04FF4E}"/>
    <hyperlink ref="V66:V75" location="'ГЕОРГ ПОЛИМЕР'!P91" display="'ГЕОРГ ПОЛИМЕР'!P91" xr:uid="{E93D705C-AD85-4FA5-B355-84719A2376A3}"/>
    <hyperlink ref="V87" location="'ГЕОРГ ПОЛИМЕР'!P91" display="'ГЕОРГ ПОЛИМЕР'!P91" xr:uid="{472A8D54-D57C-4AC3-9F6E-F24F80C013F7}"/>
  </hyperlinks>
  <pageMargins left="0.7" right="0.7" top="0.75" bottom="0.75" header="0.3" footer="0.3"/>
  <pageSetup paperSize="9" orientation="landscape" r:id="rId3"/>
  <ignoredErrors>
    <ignoredError sqref="R102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B793-A06D-48F2-BC12-C480BBF83BF8}">
  <dimension ref="A2:C16"/>
  <sheetViews>
    <sheetView workbookViewId="0">
      <selection activeCell="M3" sqref="M3"/>
    </sheetView>
  </sheetViews>
  <sheetFormatPr defaultColWidth="9.109375" defaultRowHeight="14.4" x14ac:dyDescent="0.3"/>
  <cols>
    <col min="1" max="1" width="10.5546875" style="68" customWidth="1"/>
    <col min="2" max="2" width="6.6640625" style="68" customWidth="1"/>
    <col min="3" max="3" width="20.44140625" style="68" customWidth="1"/>
    <col min="4" max="16384" width="9.109375" style="68"/>
  </cols>
  <sheetData>
    <row r="2" spans="1:3" s="96" customFormat="1" ht="42.75" customHeight="1" x14ac:dyDescent="0.3">
      <c r="A2" s="94" t="s">
        <v>105</v>
      </c>
      <c r="B2" s="94"/>
      <c r="C2" s="95" t="s">
        <v>106</v>
      </c>
    </row>
    <row r="3" spans="1:3" x14ac:dyDescent="0.3">
      <c r="A3" s="97">
        <v>120</v>
      </c>
      <c r="B3" s="97">
        <v>120</v>
      </c>
      <c r="C3" s="97">
        <v>1.1100000000000001</v>
      </c>
    </row>
    <row r="4" spans="1:3" x14ac:dyDescent="0.3">
      <c r="A4" s="97">
        <v>142</v>
      </c>
      <c r="B4" s="97">
        <v>142</v>
      </c>
      <c r="C4" s="97">
        <v>1.56</v>
      </c>
    </row>
    <row r="5" spans="1:3" x14ac:dyDescent="0.3">
      <c r="A5" s="97">
        <v>147</v>
      </c>
      <c r="B5" s="97">
        <v>109</v>
      </c>
      <c r="C5" s="97">
        <v>1.24</v>
      </c>
    </row>
    <row r="6" spans="1:3" x14ac:dyDescent="0.3">
      <c r="A6" s="97">
        <v>185</v>
      </c>
      <c r="B6" s="97">
        <v>135</v>
      </c>
      <c r="C6" s="97">
        <v>1.93</v>
      </c>
    </row>
    <row r="7" spans="1:3" x14ac:dyDescent="0.3">
      <c r="A7" s="97">
        <v>187</v>
      </c>
      <c r="B7" s="97">
        <v>137</v>
      </c>
      <c r="C7" s="97">
        <v>1.98</v>
      </c>
    </row>
    <row r="8" spans="1:3" x14ac:dyDescent="0.3">
      <c r="A8" s="97">
        <v>190</v>
      </c>
      <c r="B8" s="97">
        <v>144</v>
      </c>
      <c r="C8" s="97">
        <v>2.11</v>
      </c>
    </row>
    <row r="9" spans="1:3" x14ac:dyDescent="0.3">
      <c r="A9" s="97">
        <v>197</v>
      </c>
      <c r="B9" s="97">
        <v>155</v>
      </c>
      <c r="C9" s="97">
        <v>2.36</v>
      </c>
    </row>
    <row r="10" spans="1:3" x14ac:dyDescent="0.3">
      <c r="A10" s="97">
        <v>205</v>
      </c>
      <c r="B10" s="97">
        <v>160</v>
      </c>
      <c r="C10" s="97">
        <v>2.5299999999999998</v>
      </c>
    </row>
    <row r="11" spans="1:3" x14ac:dyDescent="0.3">
      <c r="A11" s="97">
        <v>210</v>
      </c>
      <c r="B11" s="97">
        <v>148</v>
      </c>
      <c r="C11" s="97">
        <v>2.4</v>
      </c>
    </row>
    <row r="12" spans="1:3" x14ac:dyDescent="0.3">
      <c r="A12" s="97">
        <v>227</v>
      </c>
      <c r="B12" s="97">
        <v>178</v>
      </c>
      <c r="C12" s="97">
        <v>3.12</v>
      </c>
    </row>
    <row r="13" spans="1:3" x14ac:dyDescent="0.3">
      <c r="A13" s="97">
        <v>238</v>
      </c>
      <c r="B13" s="97">
        <v>166</v>
      </c>
      <c r="C13" s="97">
        <v>3.05</v>
      </c>
    </row>
    <row r="14" spans="1:3" x14ac:dyDescent="0.3">
      <c r="A14" s="97">
        <v>260</v>
      </c>
      <c r="B14" s="97">
        <v>177</v>
      </c>
      <c r="C14" s="97">
        <v>3.55</v>
      </c>
    </row>
    <row r="15" spans="1:3" x14ac:dyDescent="0.3">
      <c r="A15" s="97">
        <v>325</v>
      </c>
      <c r="B15" s="97">
        <v>265</v>
      </c>
      <c r="C15" s="97">
        <v>6.65</v>
      </c>
    </row>
    <row r="16" spans="1:3" x14ac:dyDescent="0.3">
      <c r="A16" s="97">
        <v>150</v>
      </c>
      <c r="B16" s="97"/>
      <c r="C16" s="97">
        <v>1.4</v>
      </c>
    </row>
  </sheetData>
  <sheetProtection algorithmName="SHA-512" hashValue="WrQm6xNStYR+vEhFp5rozUguho+6ioaVXpd7q+43rZypqZ29dkmR5eIxrNjG5xIQ0JmwD0XeCqHKuXf12WriDg==" saltValue="OUIPHqEGJZmP4wLh0t8di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ГЕОРГ ПОЛИМЕР</vt:lpstr>
      <vt:lpstr>списки и 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Куприна</dc:creator>
  <cp:lastModifiedBy>Татьяна Куприна</cp:lastModifiedBy>
  <cp:lastPrinted>2022-08-19T12:39:41Z</cp:lastPrinted>
  <dcterms:created xsi:type="dcterms:W3CDTF">2015-06-05T18:19:34Z</dcterms:created>
  <dcterms:modified xsi:type="dcterms:W3CDTF">2022-08-22T08:48:59Z</dcterms:modified>
</cp:coreProperties>
</file>